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guidovannispen/Library/Mobile Documents/com~apple~CloudDocs/governance.art/Besturen Boek/Finaal concept/naar uitgevers/Zelftest/20260626 version 2/"/>
    </mc:Choice>
  </mc:AlternateContent>
  <xr:revisionPtr revIDLastSave="0" documentId="13_ncr:1_{75C1EDB1-73E7-E34B-A200-116578283AC5}" xr6:coauthVersionLast="47" xr6:coauthVersionMax="47" xr10:uidLastSave="{00000000-0000-0000-0000-000000000000}"/>
  <bookViews>
    <workbookView xWindow="9060" yWindow="1020" windowWidth="18940" windowHeight="16260" tabRatio="500" xr2:uid="{00000000-000D-0000-FFFF-FFFF00000000}"/>
  </bookViews>
  <sheets>
    <sheet name="Cover" sheetId="1" r:id="rId1"/>
    <sheet name="Zelftest" sheetId="2" r:id="rId2"/>
    <sheet name="Rapport" sheetId="3" r:id="rId3"/>
    <sheet name="Vergelijking" sheetId="4" r:id="rId4"/>
    <sheet name="_i18n" sheetId="5" state="hidden" r:id="rId5"/>
    <sheet name="_data" sheetId="6" state="hidden" r:id="rId6"/>
    <sheet name="_calc" sheetId="7" state="hidden" r:id="rId7"/>
  </sheets>
  <definedNames>
    <definedName name="LANG">Cover!$Z$1</definedName>
    <definedName name="LANGCOL">Cover!$Z$2</definedName>
    <definedName name="_xlnm.Print_Area" localSheetId="0">Cover!$A$1:$H$30</definedName>
    <definedName name="_xlnm.Print_Area" localSheetId="2">Rapport!$A$1:$H$66</definedName>
    <definedName name="_xlnm.Print_Area" localSheetId="3">Vergelijking!$A$1:$N$22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1" i="7" l="1"/>
  <c r="E11" i="7" s="1"/>
  <c r="C11" i="7"/>
  <c r="B11" i="7"/>
  <c r="A11" i="7"/>
  <c r="C10" i="7"/>
  <c r="F10" i="7" s="1"/>
  <c r="B10" i="7"/>
  <c r="A10" i="7"/>
  <c r="F9" i="7"/>
  <c r="G9" i="7" s="1"/>
  <c r="H9" i="7" s="1"/>
  <c r="E9" i="7"/>
  <c r="C9" i="7"/>
  <c r="D9" i="7" s="1"/>
  <c r="B9" i="7"/>
  <c r="A9" i="7"/>
  <c r="C8" i="7"/>
  <c r="B8" i="7"/>
  <c r="A8" i="7"/>
  <c r="F7" i="7"/>
  <c r="G7" i="7" s="1"/>
  <c r="H7" i="7" s="1"/>
  <c r="D7" i="7"/>
  <c r="C7" i="7"/>
  <c r="B7" i="7"/>
  <c r="A7" i="7"/>
  <c r="C6" i="7"/>
  <c r="B6" i="7"/>
  <c r="A6" i="7"/>
  <c r="C5" i="7"/>
  <c r="F5" i="7" s="1"/>
  <c r="B5" i="7"/>
  <c r="A5" i="7"/>
  <c r="F4" i="7"/>
  <c r="C4" i="7"/>
  <c r="D4" i="7" s="1"/>
  <c r="G52" i="3" s="1"/>
  <c r="B4" i="7"/>
  <c r="A4" i="7"/>
  <c r="C3" i="7"/>
  <c r="B3" i="7"/>
  <c r="A3" i="7"/>
  <c r="F2" i="7"/>
  <c r="D2" i="7"/>
  <c r="C2" i="7"/>
  <c r="B2" i="7"/>
  <c r="A2" i="7"/>
  <c r="G24" i="6"/>
  <c r="I23" i="6"/>
  <c r="H23" i="6"/>
  <c r="G23" i="6"/>
  <c r="I22" i="6"/>
  <c r="G22" i="6"/>
  <c r="I21" i="6"/>
  <c r="P18" i="6"/>
  <c r="O18" i="6"/>
  <c r="N18" i="6"/>
  <c r="M18" i="6"/>
  <c r="L18" i="6"/>
  <c r="O17" i="6"/>
  <c r="N17" i="6"/>
  <c r="P16" i="6"/>
  <c r="O16" i="6"/>
  <c r="N16" i="6"/>
  <c r="M16" i="6"/>
  <c r="L16" i="6"/>
  <c r="O15" i="6"/>
  <c r="N15" i="6"/>
  <c r="P14" i="6"/>
  <c r="O14" i="6"/>
  <c r="N14" i="6"/>
  <c r="M14" i="6"/>
  <c r="L14" i="6"/>
  <c r="AC11" i="6"/>
  <c r="AB11" i="6"/>
  <c r="Y11" i="6"/>
  <c r="X11" i="6"/>
  <c r="W11" i="6"/>
  <c r="V11" i="6"/>
  <c r="U11" i="6"/>
  <c r="C94" i="2" s="1"/>
  <c r="AC10" i="6"/>
  <c r="AB10" i="6"/>
  <c r="Y10" i="6"/>
  <c r="X10" i="6"/>
  <c r="C88" i="2" s="1"/>
  <c r="W10" i="6"/>
  <c r="C87" i="2" s="1"/>
  <c r="V10" i="6"/>
  <c r="C86" i="2" s="1"/>
  <c r="U10" i="6"/>
  <c r="C85" i="2" s="1"/>
  <c r="AC9" i="6"/>
  <c r="B15" i="4" s="1"/>
  <c r="AB9" i="6"/>
  <c r="Y9" i="6"/>
  <c r="X9" i="6"/>
  <c r="C79" i="2" s="1"/>
  <c r="W9" i="6"/>
  <c r="C78" i="2" s="1"/>
  <c r="V9" i="6"/>
  <c r="C77" i="2" s="1"/>
  <c r="U9" i="6"/>
  <c r="C76" i="2" s="1"/>
  <c r="AC8" i="6"/>
  <c r="B14" i="4" s="1"/>
  <c r="AB8" i="6"/>
  <c r="Y8" i="6"/>
  <c r="C71" i="2" s="1"/>
  <c r="X8" i="6"/>
  <c r="C70" i="2" s="1"/>
  <c r="W8" i="6"/>
  <c r="V8" i="6"/>
  <c r="U8" i="6"/>
  <c r="C67" i="2" s="1"/>
  <c r="AC7" i="6"/>
  <c r="AB7" i="6"/>
  <c r="Y7" i="6"/>
  <c r="X7" i="6"/>
  <c r="C61" i="2" s="1"/>
  <c r="W7" i="6"/>
  <c r="V7" i="6"/>
  <c r="C59" i="2" s="1"/>
  <c r="U7" i="6"/>
  <c r="AC6" i="6"/>
  <c r="AB6" i="6"/>
  <c r="Y6" i="6"/>
  <c r="C53" i="2" s="1"/>
  <c r="X6" i="6"/>
  <c r="C52" i="2" s="1"/>
  <c r="W6" i="6"/>
  <c r="C51" i="2" s="1"/>
  <c r="V6" i="6"/>
  <c r="C50" i="2" s="1"/>
  <c r="U6" i="6"/>
  <c r="C49" i="2" s="1"/>
  <c r="AC5" i="6"/>
  <c r="AB5" i="6"/>
  <c r="Y5" i="6"/>
  <c r="C44" i="2" s="1"/>
  <c r="X5" i="6"/>
  <c r="C43" i="2" s="1"/>
  <c r="W5" i="6"/>
  <c r="C42" i="2" s="1"/>
  <c r="V5" i="6"/>
  <c r="U5" i="6"/>
  <c r="C40" i="2" s="1"/>
  <c r="AC4" i="6"/>
  <c r="B10" i="4" s="1"/>
  <c r="AB4" i="6"/>
  <c r="Y4" i="6"/>
  <c r="X4" i="6"/>
  <c r="W4" i="6"/>
  <c r="V4" i="6"/>
  <c r="U4" i="6"/>
  <c r="AC3" i="6"/>
  <c r="B9" i="4" s="1"/>
  <c r="AB3" i="6"/>
  <c r="Y3" i="6"/>
  <c r="X3" i="6"/>
  <c r="C25" i="2" s="1"/>
  <c r="W3" i="6"/>
  <c r="C24" i="2" s="1"/>
  <c r="V3" i="6"/>
  <c r="C23" i="2" s="1"/>
  <c r="U3" i="6"/>
  <c r="C22" i="2" s="1"/>
  <c r="AC2" i="6"/>
  <c r="AB2" i="6"/>
  <c r="Y2" i="6"/>
  <c r="X2" i="6"/>
  <c r="C16" i="2" s="1"/>
  <c r="W2" i="6"/>
  <c r="C15" i="2" s="1"/>
  <c r="V2" i="6"/>
  <c r="C14" i="2" s="1"/>
  <c r="U2" i="6"/>
  <c r="C13" i="2" s="1"/>
  <c r="D70" i="5"/>
  <c r="D69" i="5"/>
  <c r="K20" i="4" s="1"/>
  <c r="D66" i="5"/>
  <c r="D65" i="5"/>
  <c r="M7" i="4" s="1"/>
  <c r="D64" i="5"/>
  <c r="L7" i="4" s="1"/>
  <c r="D63" i="5"/>
  <c r="D62" i="5"/>
  <c r="B7" i="4" s="1"/>
  <c r="D60" i="5"/>
  <c r="D59" i="5"/>
  <c r="B3" i="4" s="1"/>
  <c r="D56" i="5"/>
  <c r="D55" i="5"/>
  <c r="E6" i="2" s="1"/>
  <c r="D54" i="5"/>
  <c r="B6" i="2" s="1"/>
  <c r="D53" i="5"/>
  <c r="D52" i="5"/>
  <c r="D50" i="5"/>
  <c r="B17" i="1" s="1"/>
  <c r="D49" i="5"/>
  <c r="B16" i="1" s="1"/>
  <c r="D46" i="5"/>
  <c r="D45" i="5"/>
  <c r="D44" i="5"/>
  <c r="D43" i="5"/>
  <c r="D42" i="5"/>
  <c r="D40" i="5"/>
  <c r="D39" i="5"/>
  <c r="D36" i="5"/>
  <c r="H29" i="2" s="1"/>
  <c r="D35" i="5"/>
  <c r="D34" i="5"/>
  <c r="D33" i="5"/>
  <c r="D32" i="5"/>
  <c r="D30" i="5"/>
  <c r="D29" i="5"/>
  <c r="D26" i="5"/>
  <c r="B41" i="3" s="1"/>
  <c r="D25" i="5"/>
  <c r="B33" i="3" s="1"/>
  <c r="D24" i="5"/>
  <c r="D23" i="5"/>
  <c r="B16" i="3" s="1"/>
  <c r="D22" i="5"/>
  <c r="B11" i="3" s="1"/>
  <c r="D20" i="5"/>
  <c r="E8" i="3" s="1"/>
  <c r="D19" i="5"/>
  <c r="B8" i="3" s="1"/>
  <c r="D16" i="5"/>
  <c r="D15" i="5"/>
  <c r="D14" i="5"/>
  <c r="B24" i="1" s="1"/>
  <c r="D13" i="5"/>
  <c r="D12" i="5"/>
  <c r="D10" i="5"/>
  <c r="D9" i="5"/>
  <c r="D6" i="5"/>
  <c r="B7" i="1" s="1"/>
  <c r="D5" i="5"/>
  <c r="D4" i="5"/>
  <c r="D3" i="5"/>
  <c r="B3" i="1" s="1"/>
  <c r="D2" i="5"/>
  <c r="J21" i="4"/>
  <c r="I21" i="4"/>
  <c r="H21" i="4"/>
  <c r="G21" i="4"/>
  <c r="F21" i="4"/>
  <c r="E21" i="4"/>
  <c r="D21" i="4"/>
  <c r="C21" i="4"/>
  <c r="B21" i="4"/>
  <c r="H20" i="4"/>
  <c r="C20" i="4"/>
  <c r="J19" i="4"/>
  <c r="J20" i="4" s="1"/>
  <c r="I19" i="4"/>
  <c r="I20" i="4" s="1"/>
  <c r="H19" i="4"/>
  <c r="G19" i="4"/>
  <c r="G20" i="4" s="1"/>
  <c r="F19" i="4"/>
  <c r="F20" i="4" s="1"/>
  <c r="E19" i="4"/>
  <c r="E20" i="4" s="1"/>
  <c r="D19" i="4"/>
  <c r="D20" i="4" s="1"/>
  <c r="C19" i="4"/>
  <c r="K19" i="4" s="1"/>
  <c r="Y17" i="4"/>
  <c r="X17" i="4"/>
  <c r="W17" i="4"/>
  <c r="V17" i="4"/>
  <c r="U17" i="4"/>
  <c r="T17" i="4"/>
  <c r="S17" i="4"/>
  <c r="R17" i="4"/>
  <c r="Q17" i="4"/>
  <c r="N17" i="4"/>
  <c r="M17" i="4"/>
  <c r="L17" i="4"/>
  <c r="K17" i="4"/>
  <c r="B17" i="4"/>
  <c r="Y16" i="4"/>
  <c r="X16" i="4"/>
  <c r="W16" i="4"/>
  <c r="V16" i="4"/>
  <c r="U16" i="4"/>
  <c r="T16" i="4"/>
  <c r="S16" i="4"/>
  <c r="R16" i="4"/>
  <c r="Q16" i="4"/>
  <c r="N16" i="4"/>
  <c r="M16" i="4"/>
  <c r="L16" i="4"/>
  <c r="K16" i="4"/>
  <c r="B16" i="4"/>
  <c r="Y15" i="4"/>
  <c r="X15" i="4"/>
  <c r="W15" i="4"/>
  <c r="V15" i="4"/>
  <c r="U15" i="4"/>
  <c r="T15" i="4"/>
  <c r="S15" i="4"/>
  <c r="R15" i="4"/>
  <c r="Q15" i="4"/>
  <c r="N15" i="4"/>
  <c r="M15" i="4"/>
  <c r="L15" i="4"/>
  <c r="K15" i="4"/>
  <c r="Y14" i="4"/>
  <c r="X14" i="4"/>
  <c r="W14" i="4"/>
  <c r="V14" i="4"/>
  <c r="U14" i="4"/>
  <c r="T14" i="4"/>
  <c r="S14" i="4"/>
  <c r="R14" i="4"/>
  <c r="Q14" i="4"/>
  <c r="N14" i="4"/>
  <c r="M14" i="4"/>
  <c r="L14" i="4"/>
  <c r="K14" i="4"/>
  <c r="Y13" i="4"/>
  <c r="X13" i="4"/>
  <c r="W13" i="4"/>
  <c r="V13" i="4"/>
  <c r="U13" i="4"/>
  <c r="T13" i="4"/>
  <c r="S13" i="4"/>
  <c r="R13" i="4"/>
  <c r="Q13" i="4"/>
  <c r="N13" i="4"/>
  <c r="M13" i="4"/>
  <c r="L13" i="4"/>
  <c r="K13" i="4"/>
  <c r="B13" i="4"/>
  <c r="Y12" i="4"/>
  <c r="X12" i="4"/>
  <c r="W12" i="4"/>
  <c r="V12" i="4"/>
  <c r="U12" i="4"/>
  <c r="T12" i="4"/>
  <c r="S12" i="4"/>
  <c r="R12" i="4"/>
  <c r="Q12" i="4"/>
  <c r="N12" i="4"/>
  <c r="M12" i="4"/>
  <c r="L12" i="4"/>
  <c r="K12" i="4"/>
  <c r="B12" i="4"/>
  <c r="Y11" i="4"/>
  <c r="X11" i="4"/>
  <c r="W11" i="4"/>
  <c r="V11" i="4"/>
  <c r="U11" i="4"/>
  <c r="T11" i="4"/>
  <c r="S11" i="4"/>
  <c r="R11" i="4"/>
  <c r="Q11" i="4"/>
  <c r="N11" i="4"/>
  <c r="M11" i="4"/>
  <c r="L11" i="4"/>
  <c r="K11" i="4"/>
  <c r="B11" i="4"/>
  <c r="Y10" i="4"/>
  <c r="X10" i="4"/>
  <c r="W10" i="4"/>
  <c r="V10" i="4"/>
  <c r="U10" i="4"/>
  <c r="T10" i="4"/>
  <c r="S10" i="4"/>
  <c r="R10" i="4"/>
  <c r="Q10" i="4"/>
  <c r="N10" i="4"/>
  <c r="M10" i="4"/>
  <c r="L10" i="4"/>
  <c r="K10" i="4"/>
  <c r="Y9" i="4"/>
  <c r="X9" i="4"/>
  <c r="W9" i="4"/>
  <c r="V9" i="4"/>
  <c r="U9" i="4"/>
  <c r="T9" i="4"/>
  <c r="S9" i="4"/>
  <c r="R9" i="4"/>
  <c r="Q9" i="4"/>
  <c r="N9" i="4"/>
  <c r="M9" i="4"/>
  <c r="L9" i="4"/>
  <c r="K9" i="4"/>
  <c r="Y8" i="4"/>
  <c r="X8" i="4"/>
  <c r="W8" i="4"/>
  <c r="V8" i="4"/>
  <c r="U8" i="4"/>
  <c r="T8" i="4"/>
  <c r="S8" i="4"/>
  <c r="R8" i="4"/>
  <c r="Q8" i="4"/>
  <c r="N8" i="4"/>
  <c r="M8" i="4"/>
  <c r="L8" i="4"/>
  <c r="K8" i="4"/>
  <c r="B8" i="4"/>
  <c r="N7" i="4"/>
  <c r="K7" i="4"/>
  <c r="B4" i="4"/>
  <c r="B63" i="3"/>
  <c r="B61" i="3"/>
  <c r="H59" i="3"/>
  <c r="B59" i="3"/>
  <c r="B58" i="3"/>
  <c r="H57" i="3"/>
  <c r="G57" i="3"/>
  <c r="D57" i="3"/>
  <c r="G55" i="3"/>
  <c r="D55" i="3"/>
  <c r="B55" i="3"/>
  <c r="H54" i="3"/>
  <c r="B54" i="3"/>
  <c r="B53" i="3"/>
  <c r="H52" i="3"/>
  <c r="D52" i="3"/>
  <c r="D50" i="3"/>
  <c r="B50" i="3"/>
  <c r="H49" i="3"/>
  <c r="D49" i="3"/>
  <c r="B46" i="3"/>
  <c r="D45" i="3"/>
  <c r="B45" i="3"/>
  <c r="B44" i="3"/>
  <c r="B28" i="3"/>
  <c r="C26" i="3"/>
  <c r="B26" i="3"/>
  <c r="C25" i="3"/>
  <c r="B25" i="3"/>
  <c r="M24" i="3"/>
  <c r="C24" i="3"/>
  <c r="B24" i="3"/>
  <c r="C23" i="3"/>
  <c r="B23" i="3"/>
  <c r="M22" i="3"/>
  <c r="C22" i="3"/>
  <c r="B22" i="3"/>
  <c r="C21" i="3"/>
  <c r="B21" i="3"/>
  <c r="C20" i="3"/>
  <c r="B20" i="3"/>
  <c r="C19" i="3"/>
  <c r="B19" i="3"/>
  <c r="C18" i="3"/>
  <c r="B18" i="3"/>
  <c r="C17" i="3"/>
  <c r="B17" i="3"/>
  <c r="B3" i="3"/>
  <c r="H101" i="2"/>
  <c r="G101" i="2"/>
  <c r="C101" i="2"/>
  <c r="F100" i="2"/>
  <c r="C98" i="2"/>
  <c r="C97" i="2"/>
  <c r="C96" i="2"/>
  <c r="C95" i="2"/>
  <c r="B94" i="2"/>
  <c r="H92" i="2"/>
  <c r="G92" i="2"/>
  <c r="C92" i="2"/>
  <c r="C91" i="2"/>
  <c r="C89" i="2"/>
  <c r="B85" i="2"/>
  <c r="H83" i="2"/>
  <c r="G83" i="2"/>
  <c r="C83" i="2"/>
  <c r="F82" i="2"/>
  <c r="C82" i="2"/>
  <c r="C80" i="2"/>
  <c r="B76" i="2"/>
  <c r="H74" i="2"/>
  <c r="G74" i="2"/>
  <c r="C74" i="2"/>
  <c r="C69" i="2"/>
  <c r="C68" i="2"/>
  <c r="B67" i="2"/>
  <c r="H65" i="2"/>
  <c r="G65" i="2"/>
  <c r="C65" i="2"/>
  <c r="C62" i="2"/>
  <c r="C60" i="2"/>
  <c r="C58" i="2"/>
  <c r="B58" i="2"/>
  <c r="G56" i="2"/>
  <c r="C56" i="2"/>
  <c r="F55" i="2"/>
  <c r="C55" i="2"/>
  <c r="B49" i="2"/>
  <c r="H47" i="2"/>
  <c r="G47" i="2"/>
  <c r="C47" i="2"/>
  <c r="C46" i="2"/>
  <c r="C41" i="2"/>
  <c r="B40" i="2"/>
  <c r="G38" i="2"/>
  <c r="C38" i="2"/>
  <c r="C35" i="2"/>
  <c r="C34" i="2"/>
  <c r="C33" i="2"/>
  <c r="C32" i="2"/>
  <c r="C31" i="2"/>
  <c r="B31" i="2"/>
  <c r="G29" i="2"/>
  <c r="C29" i="2"/>
  <c r="F28" i="2"/>
  <c r="C28" i="2"/>
  <c r="C26" i="2"/>
  <c r="B22" i="2"/>
  <c r="H20" i="2"/>
  <c r="G20" i="2"/>
  <c r="C20" i="2"/>
  <c r="F19" i="2"/>
  <c r="C17" i="2"/>
  <c r="B13" i="2"/>
  <c r="B4" i="2"/>
  <c r="B20" i="1"/>
  <c r="B14" i="1"/>
  <c r="B6" i="1"/>
  <c r="F3" i="1"/>
  <c r="Z2" i="1"/>
  <c r="I24" i="6" s="1"/>
  <c r="Z1" i="1"/>
  <c r="H58" i="3" s="1"/>
  <c r="M17" i="3" l="1"/>
  <c r="H17" i="3"/>
  <c r="E2" i="7"/>
  <c r="D56" i="3"/>
  <c r="D8" i="7"/>
  <c r="H23" i="3" s="1"/>
  <c r="C100" i="2"/>
  <c r="C64" i="2"/>
  <c r="C37" i="2"/>
  <c r="C19" i="2"/>
  <c r="D51" i="3"/>
  <c r="D3" i="7"/>
  <c r="D18" i="3"/>
  <c r="F3" i="7"/>
  <c r="G3" i="7" s="1"/>
  <c r="H3" i="7" s="1"/>
  <c r="H22" i="3"/>
  <c r="D22" i="3"/>
  <c r="B64" i="3"/>
  <c r="B25" i="1"/>
  <c r="D17" i="3"/>
  <c r="C73" i="2"/>
  <c r="F37" i="2"/>
  <c r="F91" i="2"/>
  <c r="F64" i="2"/>
  <c r="F46" i="2"/>
  <c r="F73" i="2"/>
  <c r="E7" i="7"/>
  <c r="H24" i="3"/>
  <c r="D24" i="3"/>
  <c r="F11" i="7"/>
  <c r="G11" i="7" s="1"/>
  <c r="H11" i="7" s="1"/>
  <c r="G59" i="3"/>
  <c r="H26" i="3"/>
  <c r="D59" i="3"/>
  <c r="D26" i="3"/>
  <c r="B14" i="7"/>
  <c r="H19" i="3"/>
  <c r="M19" i="3"/>
  <c r="F6" i="7"/>
  <c r="D54" i="3"/>
  <c r="D19" i="3"/>
  <c r="G2" i="7"/>
  <c r="E4" i="7"/>
  <c r="D6" i="7"/>
  <c r="G54" i="3" s="1"/>
  <c r="F8" i="7"/>
  <c r="M26" i="3"/>
  <c r="G50" i="3"/>
  <c r="G4" i="7"/>
  <c r="H4" i="7" s="1"/>
  <c r="H51" i="3"/>
  <c r="H56" i="3"/>
  <c r="H38" i="2"/>
  <c r="H20" i="3"/>
  <c r="B52" i="3"/>
  <c r="B57" i="3"/>
  <c r="D11" i="5"/>
  <c r="D21" i="5"/>
  <c r="D31" i="5"/>
  <c r="G49" i="3" s="1"/>
  <c r="D41" i="5"/>
  <c r="D51" i="5"/>
  <c r="B19" i="1" s="1"/>
  <c r="D61" i="5"/>
  <c r="D71" i="5"/>
  <c r="P15" i="6"/>
  <c r="P17" i="6"/>
  <c r="H22" i="6"/>
  <c r="D44" i="3" s="1"/>
  <c r="H25" i="3"/>
  <c r="D53" i="3"/>
  <c r="H55" i="3"/>
  <c r="D10" i="7"/>
  <c r="H56" i="2"/>
  <c r="B51" i="3"/>
  <c r="G53" i="3"/>
  <c r="B56" i="3"/>
  <c r="G58" i="3"/>
  <c r="D7" i="5"/>
  <c r="B9" i="1" s="1"/>
  <c r="D17" i="5"/>
  <c r="B4" i="3" s="1"/>
  <c r="D27" i="5"/>
  <c r="B48" i="3" s="1"/>
  <c r="D37" i="5"/>
  <c r="D47" i="5"/>
  <c r="D57" i="5"/>
  <c r="B49" i="3" s="1"/>
  <c r="D67" i="5"/>
  <c r="B19" i="4" s="1"/>
  <c r="Z2" i="6"/>
  <c r="C18" i="2" s="1"/>
  <c r="Z3" i="6"/>
  <c r="C27" i="2" s="1"/>
  <c r="Z4" i="6"/>
  <c r="C36" i="2" s="1"/>
  <c r="Z5" i="6"/>
  <c r="C45" i="2" s="1"/>
  <c r="Z6" i="6"/>
  <c r="C54" i="2" s="1"/>
  <c r="Z7" i="6"/>
  <c r="C63" i="2" s="1"/>
  <c r="Z8" i="6"/>
  <c r="C72" i="2" s="1"/>
  <c r="Z9" i="6"/>
  <c r="C81" i="2" s="1"/>
  <c r="Z10" i="6"/>
  <c r="C90" i="2" s="1"/>
  <c r="Z11" i="6"/>
  <c r="C99" i="2" s="1"/>
  <c r="L15" i="6"/>
  <c r="L17" i="6"/>
  <c r="G21" i="6"/>
  <c r="B43" i="3" s="1"/>
  <c r="H24" i="6"/>
  <c r="D46" i="3" s="1"/>
  <c r="H50" i="3"/>
  <c r="D58" i="3"/>
  <c r="D5" i="7"/>
  <c r="D20" i="3" s="1"/>
  <c r="H53" i="3"/>
  <c r="D8" i="5"/>
  <c r="B11" i="1" s="1"/>
  <c r="D18" i="5"/>
  <c r="B6" i="3" s="1"/>
  <c r="D28" i="5"/>
  <c r="B42" i="3" s="1"/>
  <c r="D38" i="5"/>
  <c r="D48" i="5"/>
  <c r="D58" i="5"/>
  <c r="D68" i="5"/>
  <c r="B20" i="4" s="1"/>
  <c r="AA2" i="6"/>
  <c r="AA3" i="6"/>
  <c r="AA4" i="6"/>
  <c r="AA5" i="6"/>
  <c r="AA6" i="6"/>
  <c r="AA7" i="6"/>
  <c r="AA8" i="6"/>
  <c r="AA9" i="6"/>
  <c r="AA10" i="6"/>
  <c r="AA11" i="6"/>
  <c r="M15" i="6"/>
  <c r="M17" i="6"/>
  <c r="H21" i="6"/>
  <c r="D43" i="3" s="1"/>
  <c r="B19" i="7" l="1"/>
  <c r="B11" i="2"/>
  <c r="F7" i="2"/>
  <c r="H2" i="7"/>
  <c r="B65" i="3"/>
  <c r="B29" i="1"/>
  <c r="G6" i="7"/>
  <c r="H6" i="7" s="1"/>
  <c r="G8" i="7"/>
  <c r="H8" i="7" s="1"/>
  <c r="E10" i="7"/>
  <c r="M25" i="3"/>
  <c r="D25" i="3"/>
  <c r="B15" i="1"/>
  <c r="B3" i="2"/>
  <c r="E6" i="7"/>
  <c r="M21" i="3"/>
  <c r="D21" i="3"/>
  <c r="M23" i="3"/>
  <c r="E8" i="7"/>
  <c r="G56" i="3"/>
  <c r="AD10" i="6"/>
  <c r="H85" i="2" s="1"/>
  <c r="AD9" i="6"/>
  <c r="H76" i="2" s="1"/>
  <c r="AD8" i="6"/>
  <c r="H67" i="2" s="1"/>
  <c r="AD7" i="6"/>
  <c r="H58" i="2" s="1"/>
  <c r="AD5" i="6"/>
  <c r="H40" i="2" s="1"/>
  <c r="AD4" i="6"/>
  <c r="H31" i="2" s="1"/>
  <c r="J7" i="4"/>
  <c r="H7" i="4"/>
  <c r="I7" i="4"/>
  <c r="C7" i="4"/>
  <c r="G7" i="4"/>
  <c r="F7" i="4"/>
  <c r="E7" i="4"/>
  <c r="D7" i="4"/>
  <c r="E3" i="7"/>
  <c r="M18" i="3"/>
  <c r="G51" i="3"/>
  <c r="H18" i="3"/>
  <c r="E5" i="7"/>
  <c r="B13" i="7" s="1"/>
  <c r="B15" i="7" s="1"/>
  <c r="G5" i="7"/>
  <c r="H5" i="7" s="1"/>
  <c r="M20" i="3"/>
  <c r="AD11" i="6"/>
  <c r="H94" i="2" s="1"/>
  <c r="AD6" i="6"/>
  <c r="H49" i="2" s="1"/>
  <c r="AD3" i="6"/>
  <c r="H22" i="2" s="1"/>
  <c r="AD2" i="6"/>
  <c r="H13" i="2" s="1"/>
  <c r="H21" i="3"/>
  <c r="D23" i="3"/>
  <c r="G10" i="7"/>
  <c r="H10" i="7" s="1"/>
  <c r="B18" i="7" l="1"/>
  <c r="B28" i="7" s="1"/>
  <c r="B16" i="7"/>
  <c r="B34" i="7"/>
  <c r="C34" i="7" s="1"/>
  <c r="B36" i="7"/>
  <c r="C36" i="7" s="1"/>
  <c r="B31" i="7"/>
  <c r="C31" i="7" s="1"/>
  <c r="B35" i="7"/>
  <c r="C35" i="7" s="1"/>
  <c r="B33" i="7"/>
  <c r="C33" i="7" s="1"/>
  <c r="B32" i="7"/>
  <c r="C32" i="7" s="1"/>
  <c r="B17" i="7"/>
  <c r="D33" i="7" l="1"/>
  <c r="E33" i="7"/>
  <c r="E35" i="7"/>
  <c r="D38" i="3" s="1"/>
  <c r="D35" i="7"/>
  <c r="E31" i="7"/>
  <c r="D31" i="7"/>
  <c r="B34" i="3" s="1"/>
  <c r="E36" i="7"/>
  <c r="D39" i="3" s="1"/>
  <c r="D36" i="7"/>
  <c r="B39" i="3" s="1"/>
  <c r="D32" i="7"/>
  <c r="B35" i="3" s="1"/>
  <c r="E32" i="7"/>
  <c r="D35" i="3" s="1"/>
  <c r="D34" i="3"/>
  <c r="D36" i="3"/>
  <c r="B36" i="3"/>
  <c r="B38" i="3"/>
  <c r="D37" i="3"/>
  <c r="B37" i="3"/>
  <c r="E34" i="7"/>
  <c r="D34" i="7"/>
  <c r="B22" i="7"/>
  <c r="B25" i="7" s="1"/>
  <c r="B21" i="7"/>
  <c r="B20" i="7"/>
  <c r="B27" i="7" s="1"/>
  <c r="B24" i="7"/>
  <c r="B62" i="3" s="1"/>
  <c r="B23" i="7"/>
  <c r="B9" i="3"/>
  <c r="D6" i="2"/>
  <c r="F6" i="2" l="1"/>
  <c r="E9" i="3"/>
  <c r="B26" i="7"/>
  <c r="B12" i="2" s="1"/>
  <c r="B29" i="3"/>
  <c r="B12" i="3"/>
  <c r="B9" i="2"/>
</calcChain>
</file>

<file path=xl/sharedStrings.xml><?xml version="1.0" encoding="utf-8"?>
<sst xmlns="http://schemas.openxmlformats.org/spreadsheetml/2006/main" count="508" uniqueCount="485">
  <si>
    <t>Nederlands</t>
  </si>
  <si>
    <t>key</t>
  </si>
  <si>
    <t>nl</t>
  </si>
  <si>
    <t>en</t>
  </si>
  <si>
    <t>active</t>
  </si>
  <si>
    <t>docTitle</t>
  </si>
  <si>
    <t>Digitaal Afhankelijk — Tien vragen voor het gesprek</t>
  </si>
  <si>
    <t>Digitaal Afhankelijk — Ten questions for the conversation</t>
  </si>
  <si>
    <t>toolLabel</t>
  </si>
  <si>
    <t>Bestuurlijke zelftest</t>
  </si>
  <si>
    <t>Board self-assessment</t>
  </si>
  <si>
    <t>toolDesc</t>
  </si>
  <si>
    <t>Tien vragen voor het gesprek aan de bestuurstafel over AI, cyberrisico en digitale afhankelijkheid.</t>
  </si>
  <si>
    <t>Ten questions for the conversation at the board table about AI, cyber risk and digital dependence.</t>
  </si>
  <si>
    <t>introH1</t>
  </si>
  <si>
    <t>Tien vragen voor bestuur en toezicht</t>
  </si>
  <si>
    <t>Ten questions for boards and supervisors</t>
  </si>
  <si>
    <t>introEyebrow</t>
  </si>
  <si>
    <t>Het gesprek aan de bestuurstafel</t>
  </si>
  <si>
    <t>The conversation at the board table</t>
  </si>
  <si>
    <t>introP1</t>
  </si>
  <si>
    <t>Deze zelftest volgt de tien vragen uit Digitaal Afhankelijk. Ze zijn geen technische toets, maar een manier om te zien of het bestuurlijke gesprek over AI, cyberrisico en leveranciersafhankelijkheid werkelijk wordt gevoerd — en waar het nog ontbreekt.</t>
  </si>
  <si>
    <t>This self-assessment follows the ten questions from Digitaal Afhankelijk. They are not a technical test but a way to see whether the boardroom conversation about AI, cyber risk and supplier dependence is genuinely taking place — and where it is still missing.</t>
  </si>
  <si>
    <t>introP2</t>
  </si>
  <si>
    <t>Kies per vraag het antwoord (1–4) dat het dichtst bij uw instelling ligt, van zwak naar sterk. De uitkomst is een score op een schaal van tien, met een conclusie en aanbevelingen.</t>
  </si>
  <si>
    <t>For each question, choose the answer (1–4) that lies closest to your organisation, from weak to strong. The result is a score out of ten, with a conclusion and recommendations.</t>
  </si>
  <si>
    <t>qhTitle</t>
  </si>
  <si>
    <t>De vragenlijst</t>
  </si>
  <si>
    <t>The questions</t>
  </si>
  <si>
    <t>qhNote</t>
  </si>
  <si>
    <t>10 vragen · gewogen</t>
  </si>
  <si>
    <t>10 questions · weighted</t>
  </si>
  <si>
    <t>sbState</t>
  </si>
  <si>
    <t>Stand van het gesprek</t>
  </si>
  <si>
    <t>State of the conversation</t>
  </si>
  <si>
    <t>concEyebrow</t>
  </si>
  <si>
    <t>Conclusie</t>
  </si>
  <si>
    <t>Conclusion</t>
  </si>
  <si>
    <t>concSub</t>
  </si>
  <si>
    <t>Aanbeveling</t>
  </si>
  <si>
    <t>Recommendation</t>
  </si>
  <si>
    <t>discEyebrow</t>
  </si>
  <si>
    <t>Verantwoording</t>
  </si>
  <si>
    <t>A note on use</t>
  </si>
  <si>
    <t>discBody</t>
  </si>
  <si>
    <t>Deze zelftest geeft een indicatie van het bestuurlijke gesprek; het is geen audit, geen oordeel en geen norm. De uitkomst vervangt geen professioneel, juridisch of technisch advies, en aan de score kunnen geen rechten worden ontleend. Het invullen en het gebruik van de uitkomst zijn voor eigen verantwoordelijkheid van de instelling.</t>
  </si>
  <si>
    <t>This self-assessment offers an indication of the boardroom conversation; it is not an audit, a verdict or a standard. The outcome does not replace professional, legal or technical advice, and no rights may be derived from the score. Completing it and using the outcome remain the responsibility of the organisation.</t>
  </si>
  <si>
    <t>rpCoverEyebrow</t>
  </si>
  <si>
    <t>Bestuurlijke zelftest · Digitaal Afhankelijk</t>
  </si>
  <si>
    <t>Board self-assessment · Digitaal Afhankelijk</t>
  </si>
  <si>
    <t>rpCoverTitle</t>
  </si>
  <si>
    <t>Tien vragen voor het gesprek</t>
  </si>
  <si>
    <t>Ten questions for the conversation</t>
  </si>
  <si>
    <t>rpCoverSub</t>
  </si>
  <si>
    <t>Wat bestuur en toezicht in de culturele sector bespreken over AI, cyberrisico en digitale afhankelijkheid</t>
  </si>
  <si>
    <t>What boards and supervisors in the cultural sector discuss about AI, cyber risk and digital dependence</t>
  </si>
  <si>
    <t>rpScoreLabel</t>
  </si>
  <si>
    <t>Score</t>
  </si>
  <si>
    <t>rpStateLabel</t>
  </si>
  <si>
    <t>rpCoverFoot</t>
  </si>
  <si>
    <t>Een zelftest bij Digitaal Afhankelijk — Guido van Nispen · governance.art</t>
  </si>
  <si>
    <t>A self-assessment accompanying Digitaal Afhankelijk — Guido van Nispen · governance.art</t>
  </si>
  <si>
    <t>rpSec1</t>
  </si>
  <si>
    <t>01 · Bevindingen</t>
  </si>
  <si>
    <t>01 · Findings</t>
  </si>
  <si>
    <t>rpSec2</t>
  </si>
  <si>
    <t>02 · Score per vraag</t>
  </si>
  <si>
    <t>02 · Score by question</t>
  </si>
  <si>
    <t>rpSec3</t>
  </si>
  <si>
    <t>03 · Aanbeveling</t>
  </si>
  <si>
    <t>03 · Recommendation</t>
  </si>
  <si>
    <t>rpSec4</t>
  </si>
  <si>
    <t>04 · Waar het gesprek het meest oplevert</t>
  </si>
  <si>
    <t>04 · Where the conversation yields most</t>
  </si>
  <si>
    <t>rpSec5</t>
  </si>
  <si>
    <t>05 · Proportionaliteit per instelling</t>
  </si>
  <si>
    <t>05 · Proportionality by organisation</t>
  </si>
  <si>
    <t>rpSec6</t>
  </si>
  <si>
    <t>06 · De tien antwoorden</t>
  </si>
  <si>
    <t>06 · The ten answers</t>
  </si>
  <si>
    <t>rpProfIntro</t>
  </si>
  <si>
    <t>Dezelfde vragen pakken anders uit naar schaal en taak. Onderstaande profielen geven de eerste bestuurlijke stap die bij elk type instelling past — geen herweging van de score, maar duiding bij het gesprek.</t>
  </si>
  <si>
    <t>The same questions play out differently by scale and remit. The profiles below give the first governance step that suits each type of organisation — not a reweighting of the score, but guidance alongside the conversation.</t>
  </si>
  <si>
    <t>thQuestion</t>
  </si>
  <si>
    <t>Vraag</t>
  </si>
  <si>
    <t>Question</t>
  </si>
  <si>
    <t>thAnswer</t>
  </si>
  <si>
    <t>Antwoord</t>
  </si>
  <si>
    <t>Answer</t>
  </si>
  <si>
    <t>thScore</t>
  </si>
  <si>
    <t>thWeight</t>
  </si>
  <si>
    <t>Gewicht</t>
  </si>
  <si>
    <t>Weight</t>
  </si>
  <si>
    <t>rpCloseT</t>
  </si>
  <si>
    <t>De volgende stap aan de bestuurstafel</t>
  </si>
  <si>
    <t>The next step at the board table</t>
  </si>
  <si>
    <t>rpCloseRef</t>
  </si>
  <si>
    <t>Deze zelftest volgt de tien vragen uit Digitaal Afhankelijk (Guido van Nispen, governance.art). Het boek werkt elke vraag uit met casussen, niveaus en institutionele profielen.</t>
  </si>
  <si>
    <t>This self-assessment follows the ten questions from Digitaal Afhankelijk (Guido van Nispen, governance.art). The book develops each question with case studies, levels and institutional profiles.</t>
  </si>
  <si>
    <t>qFieldLabel</t>
  </si>
  <si>
    <t>Welk antwoord ligt het dichtst bij uw instelling?</t>
  </si>
  <si>
    <t>Which answer lies closest to your organisation?</t>
  </si>
  <si>
    <t>qContrib</t>
  </si>
  <si>
    <t>Bijdrage aan de score</t>
  </si>
  <si>
    <t>Contribution to the score</t>
  </si>
  <si>
    <t>wHeavy</t>
  </si>
  <si>
    <t>Zwaar ×1,5</t>
  </si>
  <si>
    <t>Weighted ×1.5</t>
  </si>
  <si>
    <t>wStd</t>
  </si>
  <si>
    <t>Standaard</t>
  </si>
  <si>
    <t>Standard</t>
  </si>
  <si>
    <t>noAnswer</t>
  </si>
  <si>
    <t>Nog geen antwoord</t>
  </si>
  <si>
    <t>No answer yet</t>
  </si>
  <si>
    <t>notAnswered</t>
  </si>
  <si>
    <t>Niet beantwoord</t>
  </si>
  <si>
    <t>Not answered</t>
  </si>
  <si>
    <t>concEmpty</t>
  </si>
  <si>
    <t>Beantwoord de tien vragen om de stand van het bestuurlijke gesprek te zien. De score weegt zwaardere vragen — samenhang, missie, restrisico en publieke uitlegbaarheid — net iets sterker mee.</t>
  </si>
  <si>
    <t>Answer the ten questions to see where the boardroom conversation stands. The score gives slightly more weight to the heavier questions — coherence, mission, residual risk and public accountability.</t>
  </si>
  <si>
    <t>noWeakT</t>
  </si>
  <si>
    <t>Het gesprek wordt gevoerd</t>
  </si>
  <si>
    <t>The conversation is being held</t>
  </si>
  <si>
    <t>noWeakB</t>
  </si>
  <si>
    <t>Op alle tien vragen ligt een sterk antwoord voor. De aandacht verschuift van inhalen naar onderhouden: laat de vragen periodiek terugkeren en houd tegenspraak en restrisico expliciet.</t>
  </si>
  <si>
    <t>A strong answer lies ready on all ten questions. Attention shifts from catching up to maintenance: let the questions return periodically and keep dissent and residual risk explicit.</t>
  </si>
  <si>
    <t>provSidebar</t>
  </si>
  <si>
    <t xml:space="preserve">(Voorlopig, {n} van 10 beantwoord.) </t>
  </si>
  <si>
    <t xml:space="preserve">(Provisional, {n} of 10 answered.) </t>
  </si>
  <si>
    <t>language</t>
  </si>
  <si>
    <t>Taal</t>
  </si>
  <si>
    <t>Language</t>
  </si>
  <si>
    <t>navTitle</t>
  </si>
  <si>
    <t>Inhoud</t>
  </si>
  <si>
    <t>Contents</t>
  </si>
  <si>
    <t>navCover</t>
  </si>
  <si>
    <t>Voorblad</t>
  </si>
  <si>
    <t>Cover</t>
  </si>
  <si>
    <t>navTest</t>
  </si>
  <si>
    <t>Zelftest</t>
  </si>
  <si>
    <t>Self-assessment</t>
  </si>
  <si>
    <t>navReport</t>
  </si>
  <si>
    <t>Rapport</t>
  </si>
  <si>
    <t>Report</t>
  </si>
  <si>
    <t>navCompare</t>
  </si>
  <si>
    <t>Vergelijking bestuursleden</t>
  </si>
  <si>
    <t>Comparison across board members</t>
  </si>
  <si>
    <t>howTitle</t>
  </si>
  <si>
    <t>Hoe te gebruiken</t>
  </si>
  <si>
    <t>How to use</t>
  </si>
  <si>
    <t>howBody</t>
  </si>
  <si>
    <t>Kies hierboven uw taal. Vul op het tabblad ‘Zelftest’ bij elke vraag een cijfer 1–4 in (1 = zwak, 4 = sterk); score, band en aanbeveling verschijnen direct. Het tabblad ‘Rapport’ is opgemaakt om te printen of als PDF op te slaan. Op ‘Vergelijking’ vult elk bestuurslid een eigen kolom in en ziet u waar de beelden uiteenlopen.</t>
  </si>
  <si>
    <t>Choose your language above. On the ‘Self-assessment’ tab, enter a number 1–4 for each question (1 = weak, 4 = strong); score, band and recommendation appear at once. The ‘Report’ tab is laid out to print or save as PDF. On ‘Comparison’ each board member fills their own column and you see where views diverge.</t>
  </si>
  <si>
    <t>answerHdr</t>
  </si>
  <si>
    <t>Antwoord (1–4)</t>
  </si>
  <si>
    <t>Answer (1–4)</t>
  </si>
  <si>
    <t>yourScore</t>
  </si>
  <si>
    <t>Uw score</t>
  </si>
  <si>
    <t>Your score</t>
  </si>
  <si>
    <t>scoreOf10</t>
  </si>
  <si>
    <t>op 10</t>
  </si>
  <si>
    <t>out of 10</t>
  </si>
  <si>
    <t>answeredOf</t>
  </si>
  <si>
    <t>{n} van 10 beantwoord</t>
  </si>
  <si>
    <t>{n} of 10 answered</t>
  </si>
  <si>
    <t>qColdr</t>
  </si>
  <si>
    <t>legendTitle</t>
  </si>
  <si>
    <t>Signaalschaal</t>
  </si>
  <si>
    <t>Signal scale</t>
  </si>
  <si>
    <t>cmpTitle</t>
  </si>
  <si>
    <t>cmpIntro</t>
  </si>
  <si>
    <t>Laat elk bestuurslid in een eigen kolom een cijfer 1–4 per vraag invullen. De vergelijking toont per vraag het gemiddelde, het laagste en het hoogste oordeel en de spreiding — juist het verschil in beeld voedt het gesprek.</t>
  </si>
  <si>
    <t>Have each board member enter a number 1–4 per question in their own column. The comparison shows, per question, the average, lowest and highest judgement and the spread — it is precisely the difference in view that feeds the conversation.</t>
  </si>
  <si>
    <t>respondent</t>
  </si>
  <si>
    <t>Bestuurslid</t>
  </si>
  <si>
    <t>Board member</t>
  </si>
  <si>
    <t>cmpName</t>
  </si>
  <si>
    <t>Naam</t>
  </si>
  <si>
    <t>Name</t>
  </si>
  <si>
    <t>cmpAvg</t>
  </si>
  <si>
    <t>Gemiddeld</t>
  </si>
  <si>
    <t>Average</t>
  </si>
  <si>
    <t>cmpMin</t>
  </si>
  <si>
    <t>Laagste</t>
  </si>
  <si>
    <t>Lowest</t>
  </si>
  <si>
    <t>cmpMax</t>
  </si>
  <si>
    <t>Hoogste</t>
  </si>
  <si>
    <t>Highest</t>
  </si>
  <si>
    <t>cmpSpread</t>
  </si>
  <si>
    <t>Spreiding</t>
  </si>
  <si>
    <t>Spread</t>
  </si>
  <si>
    <t>cmpScoreRow</t>
  </si>
  <si>
    <t>Gewogen score (0–10)</t>
  </si>
  <si>
    <t>Weighted score (0–10)</t>
  </si>
  <si>
    <t>cmpBandRow</t>
  </si>
  <si>
    <t>Band</t>
  </si>
  <si>
    <t>cmpGroup</t>
  </si>
  <si>
    <t>Groepsgemiddelde</t>
  </si>
  <si>
    <t>Group average</t>
  </si>
  <si>
    <t>cmpAnswered</t>
  </si>
  <si>
    <t>Beantwoord</t>
  </si>
  <si>
    <t>Answered</t>
  </si>
  <si>
    <t>cmpHint</t>
  </si>
  <si>
    <t>Tik op een cel en kies 1–4</t>
  </si>
  <si>
    <t>Click a cell and choose 1–4</t>
  </si>
  <si>
    <t>V1</t>
  </si>
  <si>
    <t>Bespreken wij AI, cyber en leveranciersafhankelijkheid als één samenhangende opgave?</t>
  </si>
  <si>
    <t>AI gebruikt data, data staat in systemen, systemen leunen op leveranciers — wie de drie apart belegt, ziet het geheel niet.</t>
  </si>
  <si>
    <t>De drie onderwerpen liggen bij verschillende afdelingen en komen niet samen op de bestuurstafel.</t>
  </si>
  <si>
    <t>We benoemen ze los; de samenhang wordt zelden expliciet gemaakt.</t>
  </si>
  <si>
    <t>We zien de samenhang en agenderen die soms gezamenlijk.</t>
  </si>
  <si>
    <t>We bespreken de drie consequent als één opgave en kunnen aangeven waar ze elkaar raken.</t>
  </si>
  <si>
    <t>Samenhang</t>
  </si>
  <si>
    <t>Zolang AI bij innovatie ligt, cyber bij IT en software bij inkoop, ziet niemand het geheel. Breng de drie als één bestuurlijke opgave op tafel en benoem waar ze elkaar raken.</t>
  </si>
  <si>
    <t>Samenhang van AI, cyber en leveranciers</t>
  </si>
  <si>
    <t>Do we discuss AI, cyber and supplier dependence as one coherent task?</t>
  </si>
  <si>
    <t>AI runs on data, data lives in systems, systems lean on suppliers — handle the three separately and the whole escapes you.</t>
  </si>
  <si>
    <t>The three subjects sit with different departments and never meet at the board table.</t>
  </si>
  <si>
    <t>We name them separately; the coherence is rarely made explicit.</t>
  </si>
  <si>
    <t>We see the coherence and sometimes put it on the agenda together.</t>
  </si>
  <si>
    <t>We discuss the three consistently as one task and can point to where they meet.</t>
  </si>
  <si>
    <t>Coherence</t>
  </si>
  <si>
    <t>As long as AI sits with innovation, cyber with IT and software with procurement, no one sees the whole. Bring the three to the table as one governance task and name where they meet.</t>
  </si>
  <si>
    <t>Coherence of AI, cyber and suppliers</t>
  </si>
  <si>
    <t>V2</t>
  </si>
  <si>
    <t>Weten wij welke digitale afhankelijkheden de missie rechtstreeks raken?</t>
  </si>
  <si>
    <t>Niet algemene digitale volwassenheid, maar wat voor déze instelling werkelijk kritisch is — collectie, ticketing, metadata of aanvraagproces.</t>
  </si>
  <si>
    <t>We onderscheiden kritieke en bijkomstige systemen niet.</t>
  </si>
  <si>
    <t>Er is een globaal beeld, maar het is niet gekoppeld aan de missie.</t>
  </si>
  <si>
    <t>De belangrijkste missiekritische afhankelijkheden zijn benoemd.</t>
  </si>
  <si>
    <t>Per missiekritisch proces kennen we de afhankelijkheid, de eigenaar en het herstelpad.</t>
  </si>
  <si>
    <t>Missiekritische afhankelijkheden</t>
  </si>
  <si>
    <t>Algemene digitale volwassenheid zegt weinig. Benoem welke afhankelijkheden de missie rechtstreeks raken en koppel daar eigenaarschap en een herstelpad aan.</t>
  </si>
  <si>
    <t>Do we know which digital dependencies bear directly on the mission?</t>
  </si>
  <si>
    <t>What matters is not general digital maturity but what is truly critical for this organisation — collection, ticketing, metadata or the application process.</t>
  </si>
  <si>
    <t>We draw no distinction between critical and incidental systems.</t>
  </si>
  <si>
    <t>There is a rough picture, but it is not tied to the mission.</t>
  </si>
  <si>
    <t>The main mission-critical dependencies have been named.</t>
  </si>
  <si>
    <t>For each mission-critical process we know the dependency, the owner and the recovery path.</t>
  </si>
  <si>
    <t>Mission-critical dependencies</t>
  </si>
  <si>
    <t>General digital maturity says little. Name which dependencies bear directly on the mission and attach ownership and a recovery path to each.</t>
  </si>
  <si>
    <t>V3</t>
  </si>
  <si>
    <t>Stelt de raad van toezicht zelf zijn informatiebehoefte op, of wacht hij op de directie?</t>
  </si>
  <si>
    <t>De raad heeft zicht nodig op kritieke afhankelijkheden, open risico’s, incidenten en eigenaarschap — én op wat nog onbekend is.</t>
  </si>
  <si>
    <t>De raad ontvangt vooral geruststellende samenvattingen en vraagt zelden door.</t>
  </si>
  <si>
    <t>De raad reageert op wat de directie agendeert, maar vraagt niet zelf uit.</t>
  </si>
  <si>
    <t>De raad benoemt welke informatie hij nodig heeft en vraagt daar gericht naar.</t>
  </si>
  <si>
    <t>De raad stelt zijn informatiebehoefte zelf op, inclusief wat nog onbekend is.</t>
  </si>
  <si>
    <t>Informatiepositie van de raad</t>
  </si>
  <si>
    <t>Een raad die wacht tot de directie agendeert, mist precies de informatie die hij nodig heeft. Stel de informatiebehoefte zelf op — onzekerheid is bestuurbaar zodra zij expliciet is.</t>
  </si>
  <si>
    <t>Does the supervisory board set its own information needs, or wait on the executive?</t>
  </si>
  <si>
    <t>The board needs sight of critical dependencies, open risks, incidents and ownership — and of what is still unknown.</t>
  </si>
  <si>
    <t>The board mostly receives reassuring summaries and rarely presses further.</t>
  </si>
  <si>
    <t>The board responds to what the executive tables, but does not ask on its own account.</t>
  </si>
  <si>
    <t>The board names the information it needs and asks for it specifically.</t>
  </si>
  <si>
    <t>The board draws up its own information needs, including what is still unknown.</t>
  </si>
  <si>
    <t>The board’s access to information</t>
  </si>
  <si>
    <t>A board that waits for the executive to table matters misses precisely the information it needs. Draw up the information needs yourself — uncertainty becomes governable once it is made explicit.</t>
  </si>
  <si>
    <t>V4</t>
  </si>
  <si>
    <t>Is helder waar menselijke controle verplicht blijft?</t>
  </si>
  <si>
    <t>Bij publieksinformatie, gevoelige interpretatie, personele en subsidiebesluiten, incidentcommunicatie en contractkeuzes — daar landt verantwoordelijkheid.</t>
  </si>
  <si>
    <t>Er is geen afspraak over waar een mens het laatste woord heeft.</t>
  </si>
  <si>
    <t>Het gebeurt informeel, per situatie, zonder vastgelegd kader.</t>
  </si>
  <si>
    <t>Voor de gevoeligste processen is menselijke controle benoemd.</t>
  </si>
  <si>
    <t>Voor alle hoogrisicoprocessen is menselijke controle expliciet aangewezen en toetsbaar.</t>
  </si>
  <si>
    <t>Menselijke controle</t>
  </si>
  <si>
    <t>Menselijke controle is geen formaliteit maar de plek waar verantwoordelijkheid landt. Wijs expliciet aan waar bij AI, cyber en contractkeuzes een mens het laatste woord houdt.</t>
  </si>
  <si>
    <t>Waar menselijke controle verplicht blijft</t>
  </si>
  <si>
    <t>Is it clear where human control remains compulsory?</t>
  </si>
  <si>
    <t>In public information, sensitive interpretation, personnel and funding decisions, incident communication and contract choices — that is where responsibility lands.</t>
  </si>
  <si>
    <t>There is no agreement on where a human has the final word.</t>
  </si>
  <si>
    <t>It happens informally, case by case, with no settled framework.</t>
  </si>
  <si>
    <t>For the most sensitive processes, human control has been named.</t>
  </si>
  <si>
    <t>For all high-risk processes, human control is explicitly assigned and open to scrutiny.</t>
  </si>
  <si>
    <t>Human control</t>
  </si>
  <si>
    <t>Human control is no formality; it is where responsibility lands. Assign explicitly where, in AI, cyber and contract choices, a human keeps the final word.</t>
  </si>
  <si>
    <t>Where human control remains compulsory</t>
  </si>
  <si>
    <t>V5</t>
  </si>
  <si>
    <t>Weten wij welke risico’s wij bewust accepteren, en waarom?</t>
  </si>
  <si>
    <t>Een risico dat niet bekend is, is geen geaccepteerd risico — het is een blinde vlek.</t>
  </si>
  <si>
    <t>We hebben niet expliciet naar restrisico gekeken.</t>
  </si>
  <si>
    <t>We weten dat er restrisico is, maar niet welk of waarom het aanvaardbaar is.</t>
  </si>
  <si>
    <t>De belangrijkste restrisico’s zijn benoemd en besproken.</t>
  </si>
  <si>
    <t>Per kritiek terrein kennen we het restrisico, weten we waarom het aanvaardbaar is en herijken we het periodiek.</t>
  </si>
  <si>
    <t>Bewust geaccepteerd restrisico</t>
  </si>
  <si>
    <t>Een risico dat niet bekend is, is geen geaccepteerd risico maar een blinde vlek. Maak per kritiek terrein zichtbaar welk restrisico blijft en waarom dat aanvaardbaar is.</t>
  </si>
  <si>
    <t>Do we know which risks we knowingly accept, and why?</t>
  </si>
  <si>
    <t>A risk that is not known is not an accepted risk — it is a blind spot.</t>
  </si>
  <si>
    <t>We have not looked at residual risk explicitly.</t>
  </si>
  <si>
    <t>We know residual risk exists, but not which, nor why it is acceptable.</t>
  </si>
  <si>
    <t>The main residual risks have been named and discussed.</t>
  </si>
  <si>
    <t>For each critical area we know the residual risk, know why it is acceptable, and recalibrate it periodically.</t>
  </si>
  <si>
    <t>Knowingly accepted residual risk</t>
  </si>
  <si>
    <t>A risk that is not known is not an accepted risk but a blind spot. For each critical area, make visible which residual risk remains and why it is acceptable.</t>
  </si>
  <si>
    <t>V6</t>
  </si>
  <si>
    <t>Weten medewerkers wat van hen wordt verwacht?</t>
  </si>
  <si>
    <t>AI-beleid dat niemand kent werkt niet; cyberprocedures die niet geoefend zijn werken niet.</t>
  </si>
  <si>
    <t>Afspraken bestaan op papier maar zijn medewerkers niet bekend.</t>
  </si>
  <si>
    <t>Er zijn richtlijnen, maar ze zijn niet vertaald naar dagelijkse praktijk.</t>
  </si>
  <si>
    <t>Medewerkers kennen de hoofdlijnen; sommige procedures zijn geoefend.</t>
  </si>
  <si>
    <t>Bestuurlijke afspraken zijn vertaald naar werkpraktijk en worden periodiek geoefend.</t>
  </si>
  <si>
    <t>Vertaling naar werkpraktijk</t>
  </si>
  <si>
    <t>Beleid dat medewerkers niet kennen, werkt niet. Vertaal bestuurlijke afspraken naar dagelijkse praktijk en oefen cyber- en AI-procedures.</t>
  </si>
  <si>
    <t>Medewerkers kennen de verwachting</t>
  </si>
  <si>
    <t>Do staff know what is expected of them?</t>
  </si>
  <si>
    <t>An AI policy no one knows does not work; cyber procedures that go unrehearsed do not work.</t>
  </si>
  <si>
    <t>Agreements exist on paper but are unknown to staff.</t>
  </si>
  <si>
    <t>Guidelines exist, but they have not been translated into daily practice.</t>
  </si>
  <si>
    <t>Staff know the main lines; some procedures have been rehearsed.</t>
  </si>
  <si>
    <t>Board agreements have been translated into working practice and are rehearsed periodically.</t>
  </si>
  <si>
    <t>Translation into practice</t>
  </si>
  <si>
    <t>A policy staff do not know does not work. Translate board agreements into daily practice and rehearse the cyber and AI procedures.</t>
  </si>
  <si>
    <t>Staff know what is expected</t>
  </si>
  <si>
    <t>V7</t>
  </si>
  <si>
    <t>Kunnen wij uitleggen hoe wij omgaan met makers, bronnen en publiek?</t>
  </si>
  <si>
    <t>Bronnen respecteren, synthetische elementen markeren, bias herkennen en correctie mogelijk maken.</t>
  </si>
  <si>
    <t>Hier is geen beleid en geen gedeeld beeld over.</t>
  </si>
  <si>
    <t>We hebben losse uitgangspunten, maar geen consistente lijn.</t>
  </si>
  <si>
    <t>We markeren en verantwoorden op de meeste plekken bewust.</t>
  </si>
  <si>
    <t>We kunnen aantoonbaar uitleggen hoe we bronnen respecteren, synthetisch markeren en correctie mogelijk maken.</t>
  </si>
  <si>
    <t>Makers, bronnen en publiek</t>
  </si>
  <si>
    <t>Publieke waarde vraagt om uitlegbaarheid: respecteer bronnen, markeer synthetische elementen, herken bias en maak correctie mogelijk — en kunnen aantonen dat u dat doet.</t>
  </si>
  <si>
    <t>Can we explain how we treat makers, sources and the public?</t>
  </si>
  <si>
    <t>Respecting sources, marking synthetic elements, recognising bias and allowing correction.</t>
  </si>
  <si>
    <t>There is no policy here and no shared understanding.</t>
  </si>
  <si>
    <t>We hold a few loose principles, but no consistent line.</t>
  </si>
  <si>
    <t>In most places we mark and account for this deliberately.</t>
  </si>
  <si>
    <t>We can demonstrably explain how we respect sources, mark the synthetic and allow correction.</t>
  </si>
  <si>
    <t>Makers, sources and the public</t>
  </si>
  <si>
    <t>Public value calls for accountability: respect sources, mark synthetic elements, recognise bias and allow correction — and be able to show that you do.</t>
  </si>
  <si>
    <t>V8</t>
  </si>
  <si>
    <t>Organiseert de instelling voldoende tegenspraak?</t>
  </si>
  <si>
    <t>Digitale keuzes worden gedreven door snelheid, gemak of leveranciersdruk — hebben tegenstemmen werkelijk invloed?</t>
  </si>
  <si>
    <t>Beslissingen volgen snelheid en gemak; tegenspraak is er nauwelijks.</t>
  </si>
  <si>
    <t>Er is ruimte voor bezwaar, maar het verandert zelden een besluit.</t>
  </si>
  <si>
    <t>Tegenspraak is georganiseerd en weegt soms mee.</t>
  </si>
  <si>
    <t>Tegenstemmen — medewerkers, makers, juristen, publiek — hebben aantoonbaar invloed op besluiten.</t>
  </si>
  <si>
    <t>Tegenspraak</t>
  </si>
  <si>
    <t>Snelheid, gemak en leveranciersdruk sturen digitale keuzes. Organiseer tegenspraak die werkelijk weegt en toets of die invloed echt is.</t>
  </si>
  <si>
    <t>Georganiseerde tegenspraak</t>
  </si>
  <si>
    <t>Does the organisation organise enough dissent?</t>
  </si>
  <si>
    <t>Digital choices are driven by speed, convenience or supplier pressure — do dissenting voices truly carry weight?</t>
  </si>
  <si>
    <t>Decisions follow speed and convenience; dissent is scarce.</t>
  </si>
  <si>
    <t>There is room for objection, but it rarely changes a decision.</t>
  </si>
  <si>
    <t>Dissent is organised and sometimes counts.</t>
  </si>
  <si>
    <t>Dissenting voices — staff, makers, lawyers, the public — demonstrably influence decisions.</t>
  </si>
  <si>
    <t>Dissent</t>
  </si>
  <si>
    <t>Speed, convenience and supplier pressure steer digital choices. Organise dissent that genuinely carries weight and test whether its influence is real.</t>
  </si>
  <si>
    <t>Organised dissent</t>
  </si>
  <si>
    <t>V9</t>
  </si>
  <si>
    <t>Weten wij waar sectorale samenwerking meer waarde heeft dan individuele actie?</t>
  </si>
  <si>
    <t>Sommige risico’s zijn te groot of te complex voor één instelling.</t>
  </si>
  <si>
    <t>Samenwerking is geen onderwerp; we lossen alles zelf op.</t>
  </si>
  <si>
    <t>We werken incidenteel samen, zonder afweging waar dat het meest helpt.</t>
  </si>
  <si>
    <t>We benoemen waar samenwerking nodig is en zoeken die soms op.</t>
  </si>
  <si>
    <t>We bepalen bewust waar een gezamenlijke aanpak meer oplevert dan individuele actie.</t>
  </si>
  <si>
    <t>Sectorale samenwerking</t>
  </si>
  <si>
    <t>Sommige risico’s zijn te groot voor één instelling. Bepaal bewust waar een gezamenlijke aanpak meer oplevert dan individuele actie.</t>
  </si>
  <si>
    <t>Do we know where sector cooperation is worth more than acting alone?</t>
  </si>
  <si>
    <t>Some risks are too large or too complex for a single organisation.</t>
  </si>
  <si>
    <t>Cooperation is not a topic; we solve everything ourselves.</t>
  </si>
  <si>
    <t>We cooperate occasionally, without weighing where it helps most.</t>
  </si>
  <si>
    <t>We name where cooperation is needed and sometimes seek it out.</t>
  </si>
  <si>
    <t>We deliberately decide where a joint approach yields more than acting alone.</t>
  </si>
  <si>
    <t>Sector cooperation</t>
  </si>
  <si>
    <t>Some risks are too large for one organisation. Decide deliberately where a joint approach yields more than acting alone.</t>
  </si>
  <si>
    <t>V10</t>
  </si>
  <si>
    <t>Zijn onze digitale keuzes publiek uitlegbaar?</t>
  </si>
  <si>
    <t>Uitlegbaarheid vooraf is bijna altijd beter dan verdediging achteraf.</t>
  </si>
  <si>
    <t>We denken pas na over uitleg als er een incident of een vraag komt.</t>
  </si>
  <si>
    <t>We kunnen achteraf verantwoorden, maar wegen uitlegbaarheid niet vooraf mee.</t>
  </si>
  <si>
    <t>Bij de meeste keuzes denken we vooraf na over publieke uitleg.</t>
  </si>
  <si>
    <t>Publieke uitlegbaarheid is vooraf onderdeel van elke wezenlijke digitale keuze.</t>
  </si>
  <si>
    <t>Publieke uitlegbaarheid</t>
  </si>
  <si>
    <t>Uitlegbaarheid vooraf is bijna altijd beter dan verdediging achteraf. Maak publieke uitlegbaarheid onderdeel van elke wezenlijke digitale keuze.</t>
  </si>
  <si>
    <t>Can our digital choices be explained in public?</t>
  </si>
  <si>
    <t>Explaining beforehand is nearly always better than defending after the fact.</t>
  </si>
  <si>
    <t>We think about explanation only once an incident or a question arrives.</t>
  </si>
  <si>
    <t>We can account for choices afterwards, but do not weigh accountability beforehand.</t>
  </si>
  <si>
    <t>For most choices we think about public explanation in advance.</t>
  </si>
  <si>
    <t>Public accountability is part of every material digital choice from the outset.</t>
  </si>
  <si>
    <t>Public accountability</t>
  </si>
  <si>
    <t>Explaining beforehand is nearly always better than defending after the fact. Make public accountability part of every material digital choice.</t>
  </si>
  <si>
    <t>Onbesproken terrein</t>
  </si>
  <si>
    <t>Unspoken ground</t>
  </si>
  <si>
    <t>0 – 3,0</t>
  </si>
  <si>
    <t>0 – 3.0</t>
  </si>
  <si>
    <t>De onderwerpen zijn bestuurlijk vrijwel onbesproken. AI, cyberrisico en leveranciersafhankelijkheid liggen verspreid over dossiers die elk afzonderlijk hanteerbaar lijken, terwijl niemand het geheel ziet. Dit is het moment om het gesprek voor het eerst te voeren.</t>
  </si>
  <si>
    <t>At board level the subjects are almost entirely unspoken. AI, cyber risk and supplier dependence sit scattered across files that each look manageable on their own, while no one sees the whole. This is the moment to hold the conversation for the first time.</t>
  </si>
  <si>
    <t>De eerste stap is het gesprek zelf. Breng AI, cyber en leveranciersafhankelijkheid voor het eerst samen op de bestuurstafel, benoem wat kritiek is en wie eigenaar is, en maak zichtbaar wat nog onbekend is. Onzekerheid is bestuurbaar zodra zij expliciet wordt.</t>
  </si>
  <si>
    <t>The first step is the conversation itself. Bring AI, cyber and supplier dependence together at the board table for the first time, name what is critical and who owns it, and make visible what is still unknown. Uncertainty becomes governable the moment it is made explicit.</t>
  </si>
  <si>
    <t>Agendeer dit als zelfstandig bestuursdossier; de tien vragen vormen de structuur voor het eerste gesprek.</t>
  </si>
  <si>
    <t>Put this on the agenda as a board matter in its own right; the ten questions provide the structure for the first conversation.</t>
  </si>
  <si>
    <t>Beginnend bewustzijn</t>
  </si>
  <si>
    <t>Early awareness</t>
  </si>
  <si>
    <t>3,1 – 5,0</t>
  </si>
  <si>
    <t>3.1 – 5.0</t>
  </si>
  <si>
    <t>Het digitale gesprek staat nog aan het begin. Kritieke afhankelijkheden, eigenaarschap en geaccepteerd risico zijn grotendeels onbenoemd. Dat is geen teken van onwil, maar van een gesprek dat te lang is uitgesteld — en het is goed om te beginnen.</t>
  </si>
  <si>
    <t>The digital conversation is still at its start. Critical dependencies, ownership and accepted risk are largely unnamed. This signals no reluctance, only a conversation that has been put off too long — and it is good to begin.</t>
  </si>
  <si>
    <t>Zet eerst de basisorde neer: benoem de missiekritische afhankelijkheden en hun eigenaar, leg vast waar menselijke controle verplicht blijft en zorg dat de raad zelf zijn informatiebehoefte opstelt in plaats van te wachten op de directie.</t>
  </si>
  <si>
    <t>First put basic order in place: name the mission-critical dependencies and their owners, set down where human control remains compulsory, and ensure the board draws up its own information needs rather than waiting on the executive.</t>
  </si>
  <si>
    <t>Plan een eerste bestuurlijke sessie waarin u deze tien vragen samen doorloopt en de grootste blinde vlekken benoemt.</t>
  </si>
  <si>
    <t>Schedule a first board session in which you work through these ten questions together and name the largest blind spots.</t>
  </si>
  <si>
    <t>Gedeeltelijk zicht</t>
  </si>
  <si>
    <t>Partial view</t>
  </si>
  <si>
    <t>5,1 – 7,0</t>
  </si>
  <si>
    <t>5.1 – 7.0</t>
  </si>
  <si>
    <t>Er is een begin van bestuurlijk zicht, maar belangrijke vragen blijven impliciet. De samenhang tussen de drie domeinen, het expliciet maken van restrisico of de informatiepositie van de raad vragen aandacht voordat van volwassen governance sprake is.</t>
  </si>
  <si>
    <t>A beginning of governance insight is there, but important questions remain implicit. The coherence between the three domains, making residual risk explicit and the board’s own access to information all need attention before mature governance can be said to exist.</t>
  </si>
  <si>
    <t>Begin bij de samenhang: agendeer AI, cyber en leveranciers als één opgave en koppel ze aan de missie. Maak per missiekritisch proces de eigenaar en het herstelpad zichtbaar, en maak restrisico expliciet in plaats van impliciet.</t>
  </si>
  <si>
    <t>Start with coherence: put AI, cyber and suppliers on the agenda as one task and tie them to the mission. For each mission-critical process, make the owner and the recovery path visible, and bring residual risk out of the implicit and into the open.</t>
  </si>
  <si>
    <t>Neem de zwakst scorende vragen als agenda voor de komende honderd dagen; begin bij samenhang en missie.</t>
  </si>
  <si>
    <t>Take the lowest-scoring questions as the agenda for the next hundred days; begin with coherence and mission.</t>
  </si>
  <si>
    <t>Grotendeels op orde</t>
  </si>
  <si>
    <t>Largely in order</t>
  </si>
  <si>
    <t>7,1 – 8,5</t>
  </si>
  <si>
    <t>7.1 – 8.5</t>
  </si>
  <si>
    <t>Het gesprek wordt grotendeels gevoerd. De meeste bestuurlijke vragen zijn belegd; op enkele punten — vaak tegenspraak, sectorale samenwerking of de vertaling naar werkpraktijk — blijft het beeld onaf. Met gerichte aandacht is de stap naar volwassen regie klein.</t>
  </si>
  <si>
    <t>The conversation is largely under way. Most governance questions are assigned; on a few points — often dissent, sector cooperation or the translation into daily practice — the picture stays unfinished. With focused attention, the step towards mature direction is a short one.</t>
  </si>
  <si>
    <t>Sluit de resterende lacunes: vertaal afspraken naar werkpraktijk en oefen ze, organiseer tegenspraak die werkelijk weegt en bepaal waar sectorale samenwerking meer oplevert dan individuele actie. Leg vast welk restrisico u bewust aanvaardt.</t>
  </si>
  <si>
    <t>Close the remaining gaps: translate agreements into daily practice and rehearse them, organise dissent that genuinely carries weight, and determine where sector cooperation yields more than acting alone. Set down which residual risk you knowingly accept.</t>
  </si>
  <si>
    <t>Bespreek de twee of drie zwakste antwoorden gericht in de eerstvolgende vergadering en wijs per punt een eigenaar aan.</t>
  </si>
  <si>
    <t>Discuss the two or three weakest answers in the next meeting and assign an owner to each point.</t>
  </si>
  <si>
    <t>Volwassen bestuur</t>
  </si>
  <si>
    <t>Mature governance</t>
  </si>
  <si>
    <t>8,6 – 10</t>
  </si>
  <si>
    <t>8.6 – 10</t>
  </si>
  <si>
    <t>De raad voert het digitale gesprek volwassen. AI, cyberrisico en leveranciersafhankelijkheid worden als samenhangende opgave besproken, de missiekritische afhankelijkheden zijn benoemd, restrisico’s zijn expliciet en de keuzes zijn publiek uitlegbaar. De opgave is nu onderhoud: het ritme vasthouden en het gesprek levend houden naarmate de techniek verschuift.</t>
  </si>
  <si>
    <t>The board holds the digital conversation with maturity. AI, cyber risk and supplier dependence are discussed as one coherent task, the mission-critical dependencies are named, residual risks are explicit and the choices can be explained in public. What remains is maintenance: keeping the rhythm and keeping the conversation alive as the technology shifts.</t>
  </si>
  <si>
    <t>Houd het ritme vast: laat de tien vragen periodiek terugkeren op de agenda, herijk restrisico’s en toets meegeleverde AI-functies bij elke contractcyclus. Borg dat tegenspraak invloed houdt naarmate de druk om snel te beslissen toeneemt.</t>
  </si>
  <si>
    <t>Hold the rhythm: let the ten questions return to the agenda periodically, recalibrate residual risks and review bundled AI features at every contract cycle. Make sure dissent keeps its influence as the pressure to decide quickly grows.</t>
  </si>
  <si>
    <t>Gebruik deze uitkomst om het gesprek scherp te houden, niet om het af te ronden. Volwassen governance is een ritme, geen eindrapport.</t>
  </si>
  <si>
    <t>Use this outcome to keep the conversation sharp, not to close it off. Mature governance is a rhythm, not a final report.</t>
  </si>
  <si>
    <t>Klein &amp; lokaal</t>
  </si>
  <si>
    <t>Small &amp; local</t>
  </si>
  <si>
    <t>Persoonsafhankelijkheid, informele accounts, groot vertrouwen in externe partijen.</t>
  </si>
  <si>
    <t>Reliance on individuals, informal accounts, heavy trust in outside parties.</t>
  </si>
  <si>
    <t>Basisorde: eigenaarschap, leveranciersoverzicht, herstelafspraken en heldere escalatie.</t>
  </si>
  <si>
    <t>Basic order: ownership, a supplier overview, recovery arrangements and clear escalation.</t>
  </si>
  <si>
    <t>Middelgroot &amp; groeiend</t>
  </si>
  <si>
    <t>Mid-sized &amp; growing</t>
  </si>
  <si>
    <t>Veel losse tools, versnipperd eigenaarschap, pragmatische verlengingen.</t>
  </si>
  <si>
    <t>Many scattered tools, fragmented ownership, pragmatic renewals.</t>
  </si>
  <si>
    <t>Prioritering: centrale keuzes, registers, kwartaalritme en expliciete besluiten over wat kritiek is.</t>
  </si>
  <si>
    <t>Prioritisation: central choices, registers, a quarterly rhythm and explicit decisions about what is critical.</t>
  </si>
  <si>
    <t>Groot &amp; complex</t>
  </si>
  <si>
    <t>Large &amp; complex</t>
  </si>
  <si>
    <t>Schijnzekerheid door veel systemen, silo’s en specialisten.</t>
  </si>
  <si>
    <t>False assurance from many systems, silos and specialists.</t>
  </si>
  <si>
    <t>Bestuurlijke vertaalslag: bewijs op herstelvermogen, ketenrisico, vendor-critical overzicht en restrisico.</t>
  </si>
  <si>
    <t>A governance translation: evidence on recovery capacity, supply-chain risk, a vendor-critical overview and residual risk.</t>
  </si>
  <si>
    <t>Archief, erfgoed &amp; journalistiek</t>
  </si>
  <si>
    <t>Archives, heritage &amp; journalism</t>
  </si>
  <si>
    <t>Bijzondere waarde van authenticiteit, provenance en publieke betrouwbaarheid.</t>
  </si>
  <si>
    <t>Particular value in authenticity, provenance and public trustworthiness.</t>
  </si>
  <si>
    <t>Verbind techniek en normatieve kern: herleidbaarheid, brongebruik, data-integriteit en publieke uitleg.</t>
  </si>
  <si>
    <t>Connect the technical to the normative core: traceability, source handling, data integrity and public explanation.</t>
  </si>
  <si>
    <t>code</t>
  </si>
  <si>
    <t>w</t>
  </si>
  <si>
    <t>ans</t>
  </si>
  <si>
    <t>val</t>
  </si>
  <si>
    <t>wtd</t>
  </si>
  <si>
    <t>answered</t>
  </si>
  <si>
    <t>weak</t>
  </si>
  <si>
    <t>sortkey</t>
  </si>
  <si>
    <t>wSum</t>
  </si>
  <si>
    <t>score</t>
  </si>
  <si>
    <t>bandkey</t>
  </si>
  <si>
    <t>weakCount</t>
  </si>
  <si>
    <t>scoreText</t>
  </si>
  <si>
    <t>provPrefix</t>
  </si>
  <si>
    <t>bandName</t>
  </si>
  <si>
    <t>bandRange</t>
  </si>
  <si>
    <t>overview</t>
  </si>
  <si>
    <t>priorities</t>
  </si>
  <si>
    <t>next</t>
  </si>
  <si>
    <t>concText</t>
  </si>
  <si>
    <t>recText</t>
  </si>
  <si>
    <t>bandDisp</t>
  </si>
  <si>
    <t>scoreDisp</t>
  </si>
  <si>
    <t>rank</t>
  </si>
  <si>
    <t>skey</t>
  </si>
  <si>
    <t>idx</t>
  </si>
  <si>
    <t>title</t>
  </si>
  <si>
    <t>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</si>
</sst>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charset val="1"/>
    </font>
    <font>
      <b/>
      <sz val="10"/>
      <color rgb="FFB8860B"/>
      <name val="Calibri"/>
      <family val="2"/>
    </font>
    <font>
      <b/>
      <sz val="9"/>
      <color rgb="FF8C7B5E"/>
      <name val="Calibri"/>
      <family val="2"/>
    </font>
    <font>
      <b/>
      <sz val="11"/>
      <color rgb="FF1A1714"/>
      <name val="Calibri"/>
      <family val="2"/>
    </font>
    <font>
      <sz val="30"/>
      <color rgb="FF1A1714"/>
      <name val="Georgia"/>
      <family val="1"/>
    </font>
    <font>
      <i/>
      <sz val="13"/>
      <color rgb="FF8C7B5E"/>
      <name val="Georgia"/>
      <family val="1"/>
    </font>
    <font>
      <sz val="11"/>
      <color rgb="FF3A352F"/>
      <name val="Calibri"/>
      <family val="2"/>
    </font>
    <font>
      <sz val="11"/>
      <color rgb="FF1A1714"/>
      <name val="Calibri"/>
      <family val="2"/>
    </font>
    <font>
      <sz val="10.5"/>
      <color rgb="FF3A352F"/>
      <name val="Calibri"/>
      <family val="2"/>
    </font>
    <font>
      <i/>
      <sz val="9"/>
      <color rgb="FF8C7B5E"/>
      <name val="Calibri"/>
      <family val="2"/>
    </font>
    <font>
      <sz val="9"/>
      <color rgb="FF8C7B5E"/>
      <name val="Calibri"/>
      <family val="2"/>
    </font>
    <font>
      <sz val="24"/>
      <color rgb="FF1A1714"/>
      <name val="Georgia"/>
      <family val="1"/>
    </font>
    <font>
      <b/>
      <sz val="10"/>
      <color rgb="FF8C7B5E"/>
      <name val="Calibri"/>
      <family val="2"/>
    </font>
    <font>
      <sz val="40"/>
      <color rgb="FFB8860B"/>
      <name val="Georgia"/>
      <family val="1"/>
    </font>
    <font>
      <sz val="11"/>
      <color rgb="FF8C7B5E"/>
      <name val="Calibri"/>
      <family val="2"/>
    </font>
    <font>
      <sz val="15"/>
      <color rgb="FF1A1714"/>
      <name val="Georgia"/>
      <family val="1"/>
    </font>
    <font>
      <sz val="9.5"/>
      <color rgb="FF8C7B5E"/>
      <name val="Calibri"/>
      <family val="2"/>
    </font>
    <font>
      <sz val="22"/>
      <color rgb="FFB8860B"/>
      <name val="Georgia"/>
      <family val="1"/>
    </font>
    <font>
      <b/>
      <sz val="8"/>
      <color rgb="FF8C7B5E"/>
      <name val="Calibri"/>
      <family val="2"/>
    </font>
    <font>
      <i/>
      <sz val="10"/>
      <color rgb="FF8C7B5E"/>
      <name val="Calibri"/>
      <family val="2"/>
    </font>
    <font>
      <b/>
      <sz val="11"/>
      <color rgb="FF8C7B5E"/>
      <name val="Calibri"/>
      <family val="2"/>
    </font>
    <font>
      <b/>
      <sz val="10"/>
      <color rgb="FF1A1714"/>
      <name val="Calibri"/>
      <family val="2"/>
    </font>
    <font>
      <b/>
      <sz val="16"/>
      <color rgb="FF1A1714"/>
      <name val="Georgia"/>
      <family val="1"/>
    </font>
    <font>
      <i/>
      <sz val="10"/>
      <color rgb="FF5E7355"/>
      <name val="Calibri"/>
      <family val="2"/>
    </font>
    <font>
      <sz val="7.5"/>
      <color rgb="FF8C7B5E"/>
      <name val="Calibri"/>
      <family val="2"/>
    </font>
    <font>
      <b/>
      <sz val="9"/>
      <color rgb="FFB8860B"/>
      <name val="Calibri"/>
      <family val="2"/>
    </font>
    <font>
      <i/>
      <sz val="11"/>
      <color rgb="FF8C7B5E"/>
      <name val="Georgia"/>
      <family val="1"/>
    </font>
    <font>
      <sz val="18"/>
      <color rgb="FF1A1714"/>
      <name val="Georgia"/>
      <family val="1"/>
    </font>
    <font>
      <b/>
      <sz val="11"/>
      <color rgb="FFB8860B"/>
      <name val="Calibri"/>
      <family val="2"/>
    </font>
    <font>
      <b/>
      <sz val="10"/>
      <color rgb="FFB8860B"/>
      <name val="Georgia"/>
      <family val="1"/>
    </font>
    <font>
      <sz val="9.5"/>
      <color rgb="FF3A352F"/>
      <name val="Calibri"/>
      <family val="2"/>
    </font>
    <font>
      <sz val="9"/>
      <color rgb="FFB8860B"/>
      <name val="Calibri"/>
      <family val="2"/>
    </font>
    <font>
      <sz val="9"/>
      <color rgb="FF3A352F"/>
      <name val="Calibri"/>
      <family val="2"/>
    </font>
    <font>
      <i/>
      <sz val="9.5"/>
      <color rgb="FF8C7B5E"/>
      <name val="Calibri"/>
      <family val="2"/>
    </font>
    <font>
      <b/>
      <sz val="10"/>
      <color rgb="FF5E7355"/>
      <name val="Calibri"/>
      <family val="2"/>
    </font>
    <font>
      <sz val="8.5"/>
      <color rgb="FF1A1714"/>
      <name val="Calibri"/>
      <family val="2"/>
    </font>
    <font>
      <sz val="8"/>
      <color rgb="FF3A352F"/>
      <name val="Calibri"/>
      <family val="2"/>
    </font>
    <font>
      <sz val="8"/>
      <color rgb="FF8C7B5E"/>
      <name val="Calibri"/>
      <family val="2"/>
    </font>
    <font>
      <b/>
      <sz val="11"/>
      <color rgb="FF1A1714"/>
      <name val="Georgia"/>
      <family val="1"/>
    </font>
    <font>
      <sz val="10"/>
      <color rgb="FF3A352F"/>
      <name val="Calibri"/>
      <family val="2"/>
    </font>
    <font>
      <i/>
      <sz val="8.5"/>
      <color rgb="FF8C7B5E"/>
      <name val="Calibri"/>
      <family val="2"/>
    </font>
    <font>
      <i/>
      <sz val="8"/>
      <color rgb="FFBCAE92"/>
      <name val="Calibri"/>
      <family val="2"/>
    </font>
    <font>
      <sz val="8.5"/>
      <color rgb="FF8C7B5E"/>
      <name val="Calibri"/>
      <family val="2"/>
    </font>
    <font>
      <sz val="20"/>
      <color rgb="FF1A1714"/>
      <name val="Georgia"/>
      <family val="1"/>
    </font>
    <font>
      <b/>
      <sz val="9"/>
      <color rgb="FF1A1714"/>
      <name val="Calibri"/>
      <family val="2"/>
    </font>
    <font>
      <sz val="9.5"/>
      <color rgb="FF1A1714"/>
      <name val="Calibri"/>
      <family val="2"/>
    </font>
    <font>
      <b/>
      <sz val="9.5"/>
      <color rgb="FF5E7355"/>
      <name val="Calibri"/>
      <family val="2"/>
    </font>
    <font>
      <b/>
      <sz val="9"/>
      <color rgb="FF9C5333"/>
      <name val="Calibri"/>
      <family val="2"/>
    </font>
    <font>
      <b/>
      <sz val="9.5"/>
      <color rgb="FF1A1714"/>
      <name val="Calibri"/>
      <family val="2"/>
    </font>
    <font>
      <b/>
      <sz val="11"/>
      <color rgb="FFB8860B"/>
      <name val="Georgia"/>
      <family val="1"/>
    </font>
    <font>
      <b/>
      <sz val="11"/>
      <color rgb="FF5E7355"/>
      <name val="Georgia"/>
      <family val="1"/>
    </font>
    <font>
      <sz val="8.5"/>
      <color rgb="FF3A352F"/>
      <name val="Calibri"/>
      <family val="2"/>
    </font>
  </fonts>
  <fills count="6">
    <fill>
      <patternFill patternType="none"/>
    </fill>
    <fill>
      <patternFill patternType="gray125"/>
    </fill>
    <fill>
      <patternFill patternType="solid">
        <fgColor rgb="FF1A1714"/>
        <bgColor rgb="FF000000"/>
      </patternFill>
    </fill>
    <fill>
      <patternFill patternType="solid">
        <fgColor rgb="FFF7F2E8"/>
        <bgColor rgb="FFF2EDE4"/>
      </patternFill>
    </fill>
    <fill>
      <patternFill patternType="solid">
        <fgColor rgb="FFF2EDE4"/>
        <bgColor rgb="FFF7F2E8"/>
      </patternFill>
    </fill>
    <fill>
      <patternFill patternType="solid">
        <fgColor rgb="FFFFFFFF"/>
        <bgColor rgb="FFF7F2E8"/>
      </patternFill>
    </fill>
  </fills>
  <borders count="4">
    <border>
      <left/>
      <right/>
      <top/>
      <bottom/>
      <diagonal/>
    </border>
    <border>
      <left style="thin">
        <color rgb="FFE3DBCC"/>
      </left>
      <right style="thin">
        <color rgb="FFE3DBCC"/>
      </right>
      <top style="thin">
        <color rgb="FFE3DBCC"/>
      </top>
      <bottom style="thin">
        <color rgb="FFE3DBCC"/>
      </bottom>
      <diagonal/>
    </border>
    <border>
      <left style="thick">
        <color rgb="FFB8860B"/>
      </left>
      <right/>
      <top/>
      <bottom/>
      <diagonal/>
    </border>
    <border>
      <left/>
      <right/>
      <top/>
      <bottom style="thin">
        <color rgb="FFE3DBCC"/>
      </bottom>
      <diagonal/>
    </border>
  </borders>
  <cellStyleXfs count="1">
    <xf numFmtId="0" fontId="0" fillId="0" borderId="0"/>
  </cellStyleXfs>
  <cellXfs count="76">
    <xf numFmtId="0" fontId="0" fillId="0" borderId="0" xfId="0"/>
    <xf numFmtId="0" fontId="15" fillId="0" borderId="0" xfId="0" applyFont="1" applyAlignment="1">
      <alignment horizontal="left"/>
    </xf>
    <xf numFmtId="0" fontId="14"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top" wrapText="1"/>
    </xf>
    <xf numFmtId="0" fontId="2" fillId="0" borderId="0" xfId="0" applyFont="1" applyAlignment="1">
      <alignment horizontal="left" vertical="center"/>
    </xf>
    <xf numFmtId="0" fontId="8" fillId="3" borderId="0" xfId="0" applyFont="1" applyFill="1" applyAlignment="1">
      <alignment horizontal="left" vertical="top" wrapText="1"/>
    </xf>
    <xf numFmtId="0" fontId="7"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xf>
    <xf numFmtId="0" fontId="0" fillId="2" borderId="0" xfId="0" applyFill="1"/>
    <xf numFmtId="0" fontId="1" fillId="0" borderId="0" xfId="0" applyFont="1" applyAlignment="1">
      <alignment horizontal="left" vertical="center"/>
    </xf>
    <xf numFmtId="0" fontId="2" fillId="0" borderId="0" xfId="0" applyFont="1" applyAlignment="1">
      <alignment horizontal="right" vertical="center"/>
    </xf>
    <xf numFmtId="0" fontId="3" fillId="3" borderId="1" xfId="0" applyFont="1" applyFill="1" applyBorder="1" applyAlignment="1">
      <alignment horizontal="center" vertical="center"/>
    </xf>
    <xf numFmtId="0" fontId="10"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right" vertical="center"/>
    </xf>
    <xf numFmtId="0" fontId="20" fillId="0" borderId="0" xfId="0" applyFont="1" applyAlignment="1">
      <alignment horizontal="center" vertical="top"/>
    </xf>
    <xf numFmtId="0" fontId="22" fillId="4" borderId="1" xfId="0" applyFont="1" applyFill="1" applyBorder="1" applyAlignment="1">
      <alignment horizontal="center" vertical="center"/>
    </xf>
    <xf numFmtId="164" fontId="3" fillId="0" borderId="0" xfId="0" applyNumberFormat="1" applyFont="1" applyAlignment="1">
      <alignment horizontal="center" vertical="center"/>
    </xf>
    <xf numFmtId="0" fontId="24" fillId="0" borderId="0" xfId="0" applyFont="1" applyAlignment="1">
      <alignment horizontal="right" vertical="center" wrapText="1"/>
    </xf>
    <xf numFmtId="0" fontId="0" fillId="0" borderId="3" xfId="0" applyBorder="1"/>
    <xf numFmtId="0" fontId="2" fillId="0" borderId="0" xfId="0" applyFont="1" applyAlignment="1">
      <alignment horizontal="left"/>
    </xf>
    <xf numFmtId="0" fontId="29" fillId="0" borderId="0" xfId="0" applyFont="1" applyAlignment="1">
      <alignment horizontal="center" vertical="center"/>
    </xf>
    <xf numFmtId="0" fontId="30" fillId="0" borderId="0" xfId="0" applyFont="1" applyAlignment="1">
      <alignment horizontal="left" vertical="center" wrapText="1"/>
    </xf>
    <xf numFmtId="164" fontId="32" fillId="0" borderId="0" xfId="0" applyNumberFormat="1" applyFont="1" applyAlignment="1">
      <alignment horizontal="center" vertical="center"/>
    </xf>
    <xf numFmtId="0" fontId="18" fillId="4" borderId="3" xfId="0" applyFont="1" applyFill="1" applyBorder="1" applyAlignment="1">
      <alignment horizontal="center" vertical="center"/>
    </xf>
    <xf numFmtId="164" fontId="35" fillId="0" borderId="3" xfId="0" applyNumberFormat="1" applyFont="1" applyBorder="1" applyAlignment="1">
      <alignment horizontal="center" vertical="top"/>
    </xf>
    <xf numFmtId="0" fontId="37" fillId="0" borderId="3" xfId="0" applyFont="1" applyBorder="1" applyAlignment="1">
      <alignment horizontal="center" vertical="top"/>
    </xf>
    <xf numFmtId="0" fontId="2" fillId="4" borderId="3" xfId="0" applyFont="1" applyFill="1" applyBorder="1" applyAlignment="1">
      <alignment horizontal="left" vertical="center"/>
    </xf>
    <xf numFmtId="0" fontId="44" fillId="4" borderId="3" xfId="0" applyFont="1" applyFill="1" applyBorder="1" applyAlignment="1">
      <alignment horizontal="center" vertical="center"/>
    </xf>
    <xf numFmtId="0" fontId="2" fillId="4" borderId="3" xfId="0" applyFont="1" applyFill="1" applyBorder="1" applyAlignment="1">
      <alignment horizontal="center" vertical="center"/>
    </xf>
    <xf numFmtId="0" fontId="45" fillId="0" borderId="3" xfId="0" applyFont="1" applyBorder="1" applyAlignment="1">
      <alignment horizontal="left" vertical="center" wrapText="1"/>
    </xf>
    <xf numFmtId="0" fontId="7" fillId="5" borderId="1" xfId="0" applyFont="1" applyFill="1" applyBorder="1" applyAlignment="1">
      <alignment horizontal="center" vertical="center"/>
    </xf>
    <xf numFmtId="0" fontId="46" fillId="0" borderId="3" xfId="0" applyFont="1" applyBorder="1" applyAlignment="1">
      <alignment horizontal="center" vertical="center"/>
    </xf>
    <xf numFmtId="0" fontId="10" fillId="0" borderId="3" xfId="0" applyFont="1" applyBorder="1" applyAlignment="1">
      <alignment horizontal="center" vertical="center"/>
    </xf>
    <xf numFmtId="0" fontId="47" fillId="0" borderId="3" xfId="0" applyFont="1" applyBorder="1" applyAlignment="1">
      <alignment horizontal="center" vertical="center"/>
    </xf>
    <xf numFmtId="0" fontId="48" fillId="0" borderId="0" xfId="0" applyFont="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wrapText="1"/>
    </xf>
    <xf numFmtId="0" fontId="18" fillId="0" borderId="0" xfId="0" applyFont="1" applyAlignment="1">
      <alignment horizontal="center" wrapText="1"/>
    </xf>
    <xf numFmtId="0" fontId="42" fillId="0" borderId="0" xfId="0" applyFont="1" applyAlignment="1">
      <alignment horizontal="center" vertical="center"/>
    </xf>
    <xf numFmtId="0" fontId="16" fillId="0" borderId="0" xfId="0" applyFont="1" applyAlignment="1">
      <alignment horizontal="left" vertical="top"/>
    </xf>
    <xf numFmtId="0" fontId="6" fillId="3" borderId="2" xfId="0" applyFont="1" applyFill="1" applyBorder="1" applyAlignment="1">
      <alignment horizontal="left" vertical="top" wrapText="1"/>
    </xf>
    <xf numFmtId="0" fontId="15" fillId="0" borderId="0" xfId="0" applyFont="1" applyAlignment="1">
      <alignment horizontal="left" vertical="center" wrapText="1"/>
    </xf>
    <xf numFmtId="0" fontId="19" fillId="0" borderId="0" xfId="0" applyFont="1" applyAlignment="1">
      <alignment horizontal="left" vertical="top" wrapText="1"/>
    </xf>
    <xf numFmtId="0" fontId="8" fillId="0" borderId="0" xfId="0" applyFont="1" applyAlignment="1">
      <alignment horizontal="left" vertical="top" wrapText="1"/>
    </xf>
    <xf numFmtId="0" fontId="21" fillId="0" borderId="0" xfId="0" applyFont="1" applyAlignment="1">
      <alignment horizontal="left" vertical="center"/>
    </xf>
    <xf numFmtId="0" fontId="23" fillId="0" borderId="0" xfId="0" applyFont="1" applyAlignment="1">
      <alignment horizontal="left" vertical="center" wrapText="1"/>
    </xf>
    <xf numFmtId="0" fontId="25" fillId="0" borderId="0" xfId="0" applyFont="1" applyAlignment="1">
      <alignment horizontal="left" vertical="center"/>
    </xf>
    <xf numFmtId="0" fontId="26" fillId="0" borderId="0" xfId="0" applyFont="1" applyAlignment="1">
      <alignment horizontal="left" vertical="top" wrapText="1"/>
    </xf>
    <xf numFmtId="0" fontId="2" fillId="0" borderId="0" xfId="0" applyFont="1" applyAlignment="1">
      <alignment horizontal="left"/>
    </xf>
    <xf numFmtId="0" fontId="13" fillId="0" borderId="0" xfId="0" applyFont="1" applyAlignment="1">
      <alignment horizontal="left" vertical="center"/>
    </xf>
    <xf numFmtId="0" fontId="27" fillId="0" borderId="0" xfId="0" applyFont="1" applyAlignment="1">
      <alignment horizontal="left" vertical="center"/>
    </xf>
    <xf numFmtId="0" fontId="28" fillId="3" borderId="0" xfId="0" applyFont="1" applyFill="1" applyAlignment="1">
      <alignment horizontal="left" vertical="center"/>
    </xf>
    <xf numFmtId="0" fontId="31" fillId="0" borderId="0" xfId="0" applyFont="1" applyAlignment="1">
      <alignment horizontal="left" vertical="center"/>
    </xf>
    <xf numFmtId="0" fontId="21" fillId="0" borderId="0" xfId="0" applyFont="1" applyAlignment="1">
      <alignment horizontal="left" vertical="top" wrapText="1"/>
    </xf>
    <xf numFmtId="0" fontId="30"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32" fillId="0" borderId="0" xfId="0" applyFont="1" applyAlignment="1">
      <alignment horizontal="left" vertical="top" wrapText="1"/>
    </xf>
    <xf numFmtId="0" fontId="18" fillId="4" borderId="3" xfId="0" applyFont="1" applyFill="1" applyBorder="1" applyAlignment="1">
      <alignment horizontal="left" vertical="center"/>
    </xf>
    <xf numFmtId="0" fontId="35" fillId="0" borderId="3" xfId="0" applyFont="1" applyBorder="1" applyAlignment="1">
      <alignment horizontal="left" vertical="top" wrapText="1"/>
    </xf>
    <xf numFmtId="0" fontId="36" fillId="0" borderId="3" xfId="0" applyFont="1" applyBorder="1" applyAlignment="1">
      <alignment horizontal="left" vertical="top" wrapText="1"/>
    </xf>
    <xf numFmtId="0" fontId="38" fillId="0" borderId="0" xfId="0" applyFont="1" applyAlignment="1">
      <alignment horizontal="left" vertical="center"/>
    </xf>
    <xf numFmtId="0" fontId="39"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Alignment="1">
      <alignment horizontal="left" vertical="center"/>
    </xf>
    <xf numFmtId="0" fontId="43" fillId="0" borderId="0" xfId="0" applyFont="1" applyAlignment="1">
      <alignment horizontal="left" vertical="center"/>
    </xf>
  </cellXfs>
  <cellStyles count="1">
    <cellStyle name="Normal" xfId="0" builtinId="0"/>
  </cellStyles>
  <dxfs count="3">
    <dxf>
      <font>
        <color rgb="FF9C5333"/>
        <name val="Calibri"/>
        <charset val="1"/>
      </font>
    </dxf>
    <dxf>
      <font>
        <color rgb="FFB8860B"/>
        <name val="Calibri"/>
        <charset val="1"/>
      </font>
    </dxf>
    <dxf>
      <font>
        <color rgb="FF5E7355"/>
        <name val="Calibri"/>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B8860B"/>
      <rgbColor rgb="FF800080"/>
      <rgbColor rgb="FF008080"/>
      <rgbColor rgb="FFBCAE92"/>
      <rgbColor rgb="FF8C7B5E"/>
      <rgbColor rgb="FF9999FF"/>
      <rgbColor rgb="FF9C5333"/>
      <rgbColor rgb="FFF7F2E8"/>
      <rgbColor rgb="FFCCFFFF"/>
      <rgbColor rgb="FF660066"/>
      <rgbColor rgb="FFFF8080"/>
      <rgbColor rgb="FF0066CC"/>
      <rgbColor rgb="FFE3DBCC"/>
      <rgbColor rgb="FF000080"/>
      <rgbColor rgb="FFFF00FF"/>
      <rgbColor rgb="FFFFFF00"/>
      <rgbColor rgb="FF00FFFF"/>
      <rgbColor rgb="FF800080"/>
      <rgbColor rgb="FF800000"/>
      <rgbColor rgb="FF008080"/>
      <rgbColor rgb="FF0000FF"/>
      <rgbColor rgb="FF00CCFF"/>
      <rgbColor rgb="FFCCFFFF"/>
      <rgbColor rgb="FFF2EDE4"/>
      <rgbColor rgb="FFFFFF99"/>
      <rgbColor rgb="FF99CCFF"/>
      <rgbColor rgb="FFFF99CC"/>
      <rgbColor rgb="FFCC99FF"/>
      <rgbColor rgb="FFFFCC99"/>
      <rgbColor rgb="FF3366FF"/>
      <rgbColor rgb="FF33CCCC"/>
      <rgbColor rgb="FF99CC00"/>
      <rgbColor rgb="FFFFCC00"/>
      <rgbColor rgb="FFFF9900"/>
      <rgbColor rgb="FFFF6600"/>
      <rgbColor rgb="FF5E7355"/>
      <rgbColor rgb="FF969696"/>
      <rgbColor rgb="FF003366"/>
      <rgbColor rgb="FF339966"/>
      <rgbColor rgb="FF003300"/>
      <rgbColor rgb="FF1A1714"/>
      <rgbColor rgb="FF993300"/>
      <rgbColor rgb="FF993366"/>
      <rgbColor rgb="FF333399"/>
      <rgbColor rgb="FF3A352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860B"/>
    <pageSetUpPr fitToPage="1"/>
  </sheetPr>
  <dimension ref="A1:Z29"/>
  <sheetViews>
    <sheetView showGridLines="0" tabSelected="1" topLeftCell="A11" zoomScale="110" zoomScaleNormal="110" workbookViewId="0"/>
  </sheetViews>
  <sheetFormatPr baseColWidth="10" defaultColWidth="8.6640625" defaultRowHeight="15" x14ac:dyDescent="0.2"/>
  <cols>
    <col min="1" max="1" width="2" customWidth="1"/>
    <col min="2" max="2" width="16" customWidth="1"/>
    <col min="3" max="3" width="22" customWidth="1"/>
    <col min="4" max="6" width="20" customWidth="1"/>
    <col min="7" max="7" width="18" customWidth="1"/>
    <col min="8" max="8" width="10" customWidth="1"/>
    <col min="26" max="26" width="13" hidden="1" customWidth="1"/>
  </cols>
  <sheetData>
    <row r="1" spans="1:26" ht="7.5" customHeight="1" x14ac:dyDescent="0.2">
      <c r="A1" s="15"/>
      <c r="B1" s="15"/>
      <c r="C1" s="15"/>
      <c r="D1" s="15"/>
      <c r="E1" s="15"/>
      <c r="F1" s="15"/>
      <c r="G1" s="15"/>
      <c r="H1" s="15"/>
      <c r="Z1" t="str">
        <f>IF($G$3="English","en","nl")</f>
        <v>nl</v>
      </c>
    </row>
    <row r="2" spans="1:26" ht="15" customHeight="1" x14ac:dyDescent="0.2">
      <c r="Z2">
        <f>IF($G$3="English",2,1)</f>
        <v>1</v>
      </c>
    </row>
    <row r="3" spans="1:26" ht="15" customHeight="1" x14ac:dyDescent="0.2">
      <c r="B3" s="16" t="str">
        <f>_i18n!$D$3</f>
        <v>Bestuurlijke zelftest</v>
      </c>
      <c r="F3" s="17" t="str">
        <f>_i18n!$D$45</f>
        <v>Taal</v>
      </c>
      <c r="G3" s="18" t="s">
        <v>0</v>
      </c>
    </row>
    <row r="6" spans="1:26" ht="42" customHeight="1" x14ac:dyDescent="0.2">
      <c r="B6" s="14" t="str">
        <f>_i18n!$D$5</f>
        <v>Tien vragen voor bestuur en toezicht</v>
      </c>
      <c r="C6" s="14"/>
      <c r="D6" s="14"/>
      <c r="E6" s="14"/>
      <c r="F6" s="14"/>
      <c r="G6" s="14"/>
      <c r="H6" s="14"/>
    </row>
    <row r="7" spans="1:26" ht="15.75" customHeight="1" x14ac:dyDescent="0.2">
      <c r="B7" s="13" t="str">
        <f>_i18n!$D$6</f>
        <v>Het gesprek aan de bestuurstafel</v>
      </c>
      <c r="C7" s="13"/>
      <c r="D7" s="13"/>
      <c r="E7" s="13"/>
      <c r="F7" s="13"/>
      <c r="G7" s="13"/>
      <c r="H7" s="13"/>
    </row>
    <row r="9" spans="1:26" ht="33.75" customHeight="1" x14ac:dyDescent="0.2">
      <c r="B9" s="12" t="str">
        <f>_i18n!$D$7</f>
        <v>Deze zelftest volgt de tien vragen uit Digitaal Afhankelijk. Ze zijn geen technische toets, maar een manier om te zien of het bestuurlijke gesprek over AI, cyberrisico en leveranciersafhankelijkheid werkelijk wordt gevoerd — en waar het nog ontbreekt.</v>
      </c>
      <c r="C9" s="12"/>
      <c r="D9" s="12"/>
      <c r="E9" s="12"/>
      <c r="F9" s="12"/>
      <c r="G9" s="12"/>
      <c r="H9" s="12"/>
    </row>
    <row r="10" spans="1:26" ht="15" customHeight="1" x14ac:dyDescent="0.2">
      <c r="B10" s="12"/>
      <c r="C10" s="12"/>
      <c r="D10" s="12"/>
      <c r="E10" s="12"/>
      <c r="F10" s="12"/>
      <c r="G10" s="12"/>
      <c r="H10" s="12"/>
    </row>
    <row r="11" spans="1:26" ht="33.75" customHeight="1" x14ac:dyDescent="0.2">
      <c r="B11" s="12" t="str">
        <f>_i18n!$D$8</f>
        <v>Kies per vraag het antwoord (1–4) dat het dichtst bij uw instelling ligt, van zwak naar sterk. De uitkomst is een score op een schaal van tien, met een conclusie en aanbevelingen.</v>
      </c>
      <c r="C11" s="12"/>
      <c r="D11" s="12"/>
      <c r="E11" s="12"/>
      <c r="F11" s="12"/>
      <c r="G11" s="12"/>
      <c r="H11" s="12"/>
    </row>
    <row r="12" spans="1:26" ht="15" customHeight="1" x14ac:dyDescent="0.2">
      <c r="B12" s="12"/>
      <c r="C12" s="12"/>
      <c r="D12" s="12"/>
      <c r="E12" s="12"/>
      <c r="F12" s="12"/>
      <c r="G12" s="12"/>
      <c r="H12" s="12"/>
    </row>
    <row r="14" spans="1:26" ht="15" customHeight="1" x14ac:dyDescent="0.2">
      <c r="B14" s="11" t="str">
        <f>_i18n!$D$46</f>
        <v>Inhoud</v>
      </c>
      <c r="C14" s="11"/>
      <c r="D14" s="11"/>
      <c r="E14" s="11"/>
      <c r="F14" s="11"/>
      <c r="G14" s="11"/>
      <c r="H14" s="11"/>
    </row>
    <row r="15" spans="1:26" ht="15" customHeight="1" x14ac:dyDescent="0.2">
      <c r="B15" s="10" t="str">
        <f>"•  "&amp;_i18n!$D$48</f>
        <v>•  Zelftest</v>
      </c>
      <c r="C15" s="10"/>
      <c r="D15" s="10"/>
      <c r="E15" s="10"/>
      <c r="F15" s="10"/>
      <c r="G15" s="10"/>
      <c r="H15" s="10"/>
    </row>
    <row r="16" spans="1:26" ht="15" customHeight="1" x14ac:dyDescent="0.2">
      <c r="B16" s="10" t="str">
        <f>"•  "&amp;_i18n!$D$49</f>
        <v>•  Rapport</v>
      </c>
      <c r="C16" s="10"/>
      <c r="D16" s="10"/>
      <c r="E16" s="10"/>
      <c r="F16" s="10"/>
      <c r="G16" s="10"/>
      <c r="H16" s="10"/>
    </row>
    <row r="17" spans="2:8" ht="15" customHeight="1" x14ac:dyDescent="0.2">
      <c r="B17" s="10" t="str">
        <f>"•  "&amp;_i18n!$D$50</f>
        <v>•  Vergelijking bestuursleden</v>
      </c>
      <c r="C17" s="10"/>
      <c r="D17" s="10"/>
      <c r="E17" s="10"/>
      <c r="F17" s="10"/>
      <c r="G17" s="10"/>
      <c r="H17" s="10"/>
    </row>
    <row r="19" spans="2:8" ht="15" customHeight="1" x14ac:dyDescent="0.2">
      <c r="B19" s="11" t="str">
        <f>_i18n!$D$51</f>
        <v>Hoe te gebruiken</v>
      </c>
      <c r="C19" s="11"/>
      <c r="D19" s="11"/>
      <c r="E19" s="11"/>
      <c r="F19" s="11"/>
      <c r="G19" s="11"/>
      <c r="H19" s="11"/>
    </row>
    <row r="20" spans="2:8" ht="57.75" customHeight="1" x14ac:dyDescent="0.2">
      <c r="B20" s="9" t="str">
        <f>_i18n!$D$52</f>
        <v>Kies hierboven uw taal. Vul op het tabblad ‘Zelftest’ bij elke vraag een cijfer 1–4 in (1 = zwak, 4 = sterk); score, band en aanbeveling verschijnen direct. Het tabblad ‘Rapport’ is opgemaakt om te printen of als PDF op te slaan. Op ‘Vergelijking’ vult elk bestuurslid een eigen kolom in en ziet u waar de beelden uiteenlopen.</v>
      </c>
      <c r="C20" s="9"/>
      <c r="D20" s="9"/>
      <c r="E20" s="9"/>
      <c r="F20" s="9"/>
      <c r="G20" s="9"/>
      <c r="H20" s="9"/>
    </row>
    <row r="21" spans="2:8" ht="15" customHeight="1" x14ac:dyDescent="0.2">
      <c r="B21" s="9"/>
      <c r="C21" s="9"/>
      <c r="D21" s="9"/>
      <c r="E21" s="9"/>
      <c r="F21" s="9"/>
      <c r="G21" s="9"/>
      <c r="H21" s="9"/>
    </row>
    <row r="22" spans="2:8" ht="15" customHeight="1" x14ac:dyDescent="0.2">
      <c r="B22" s="9"/>
      <c r="C22" s="9"/>
      <c r="D22" s="9"/>
      <c r="E22" s="9"/>
      <c r="F22" s="9"/>
      <c r="G22" s="9"/>
      <c r="H22" s="9"/>
    </row>
    <row r="24" spans="2:8" ht="15" customHeight="1" x14ac:dyDescent="0.2">
      <c r="B24" s="8" t="str">
        <f>_i18n!$D$14</f>
        <v>Verantwoording</v>
      </c>
      <c r="C24" s="8"/>
      <c r="D24" s="8"/>
      <c r="E24" s="8"/>
      <c r="F24" s="8"/>
      <c r="G24" s="8"/>
      <c r="H24" s="8"/>
    </row>
    <row r="25" spans="2:8" ht="45.75" customHeight="1" x14ac:dyDescent="0.2">
      <c r="B25" s="7" t="str">
        <f>_i18n!$D$15</f>
        <v>Deze zelftest geeft een indicatie van het bestuurlijke gesprek; het is geen audit, geen oordeel en geen norm. De uitkomst vervangt geen professioneel, juridisch of technisch advies, en aan de score kunnen geen rechten worden ontleend. Het invullen en het gebruik van de uitkomst zijn voor eigen verantwoordelijkheid van de instelling.</v>
      </c>
      <c r="C25" s="7"/>
      <c r="D25" s="7"/>
      <c r="E25" s="7"/>
      <c r="F25" s="7"/>
      <c r="G25" s="7"/>
      <c r="H25" s="7"/>
    </row>
    <row r="26" spans="2:8" ht="15" customHeight="1" x14ac:dyDescent="0.2">
      <c r="B26" s="7"/>
      <c r="C26" s="7"/>
      <c r="D26" s="7"/>
      <c r="E26" s="7"/>
      <c r="F26" s="7"/>
      <c r="G26" s="7"/>
      <c r="H26" s="7"/>
    </row>
    <row r="27" spans="2:8" ht="15" customHeight="1" x14ac:dyDescent="0.2">
      <c r="B27" s="7"/>
      <c r="C27" s="7"/>
      <c r="D27" s="7"/>
      <c r="E27" s="7"/>
      <c r="F27" s="7"/>
      <c r="G27" s="7"/>
      <c r="H27" s="7"/>
    </row>
    <row r="29" spans="2:8" ht="15" customHeight="1" x14ac:dyDescent="0.2">
      <c r="B29" s="6" t="str">
        <f>_i18n!$D$21</f>
        <v>Een zelftest bij Digitaal Afhankelijk — Guido van Nispen · governance.art</v>
      </c>
      <c r="C29" s="6"/>
      <c r="D29" s="6"/>
      <c r="E29" s="6"/>
      <c r="F29" s="6"/>
      <c r="G29" s="6"/>
      <c r="H29" s="6"/>
    </row>
  </sheetData>
  <mergeCells count="13">
    <mergeCell ref="B24:H24"/>
    <mergeCell ref="B25:H27"/>
    <mergeCell ref="B29:H29"/>
    <mergeCell ref="B15:H15"/>
    <mergeCell ref="B16:H16"/>
    <mergeCell ref="B17:H17"/>
    <mergeCell ref="B19:H19"/>
    <mergeCell ref="B20:H22"/>
    <mergeCell ref="B6:H6"/>
    <mergeCell ref="B7:H7"/>
    <mergeCell ref="B9:H10"/>
    <mergeCell ref="B11:H12"/>
    <mergeCell ref="B14:H14"/>
  </mergeCells>
  <dataValidations count="1">
    <dataValidation type="list" sqref="G3" xr:uid="{00000000-0002-0000-0000-000000000000}">
      <formula1>"Nederlands,English"</formula1>
      <formula2>0</formula2>
    </dataValidation>
  </dataValidations>
  <pageMargins left="0.4" right="0.4" top="0.5" bottom="0.5" header="0.511811023622047" footer="0.511811023622047"/>
  <pageSetup paperSize="9"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A1714"/>
    <pageSetUpPr fitToPage="1"/>
  </sheetPr>
  <dimension ref="A1:H102"/>
  <sheetViews>
    <sheetView showGridLines="0" zoomScale="110" zoomScaleNormal="110" workbookViewId="0"/>
  </sheetViews>
  <sheetFormatPr baseColWidth="10" defaultColWidth="8.6640625" defaultRowHeight="15" x14ac:dyDescent="0.2"/>
  <cols>
    <col min="1" max="1" width="2" customWidth="1"/>
    <col min="2" max="2" width="8" customWidth="1"/>
    <col min="3" max="6" width="15" customWidth="1"/>
    <col min="7" max="8" width="13" customWidth="1"/>
  </cols>
  <sheetData>
    <row r="1" spans="1:8" ht="7.5" customHeight="1" x14ac:dyDescent="0.2">
      <c r="A1" s="15"/>
      <c r="B1" s="15"/>
      <c r="C1" s="15"/>
      <c r="D1" s="15"/>
      <c r="E1" s="15"/>
      <c r="F1" s="15"/>
      <c r="G1" s="15"/>
      <c r="H1" s="15"/>
    </row>
    <row r="3" spans="1:8" ht="15" customHeight="1" x14ac:dyDescent="0.2">
      <c r="B3" s="16" t="str">
        <f>_i18n!$D$48</f>
        <v>Zelftest</v>
      </c>
    </row>
    <row r="4" spans="1:8" ht="33.75" customHeight="1" x14ac:dyDescent="0.2">
      <c r="B4" s="5" t="str">
        <f>_i18n!$D$5</f>
        <v>Tien vragen voor bestuur en toezicht</v>
      </c>
      <c r="C4" s="5"/>
      <c r="D4" s="5"/>
      <c r="E4" s="5"/>
      <c r="F4" s="5"/>
      <c r="G4" s="5"/>
      <c r="H4" s="5"/>
    </row>
    <row r="6" spans="1:8" ht="24" customHeight="1" x14ac:dyDescent="0.2">
      <c r="B6" s="4" t="str">
        <f>_i18n!$D$54</f>
        <v>Uw score</v>
      </c>
      <c r="C6" s="4"/>
      <c r="D6" s="3" t="str">
        <f>_calc!B28</f>
        <v>00</v>
      </c>
      <c r="E6" s="2" t="str">
        <f>_i18n!$D$55</f>
        <v>op 10</v>
      </c>
      <c r="F6" s="1" t="str">
        <f>_calc!B27</f>
        <v>Onbesproken terrein</v>
      </c>
      <c r="G6" s="1"/>
      <c r="H6" s="1"/>
    </row>
    <row r="7" spans="1:8" ht="24" customHeight="1" x14ac:dyDescent="0.2">
      <c r="B7" s="4"/>
      <c r="C7" s="4"/>
      <c r="D7" s="3"/>
      <c r="E7" s="3"/>
      <c r="F7" s="48" t="str">
        <f>SUBSTITUTE(_i18n!$D$56,"{n}",_calc!B14)</f>
        <v>10 van 10 beantwoord</v>
      </c>
      <c r="G7" s="48"/>
      <c r="H7" s="48"/>
    </row>
    <row r="9" spans="1:8" ht="39.75" customHeight="1" x14ac:dyDescent="0.2">
      <c r="B9" s="49" t="str">
        <f>_calc!B25</f>
        <v>De onderwerpen zijn bestuurlijk vrijwel onbesproken. AI, cyberrisico en leveranciersafhankelijkheid liggen verspreid over dossiers die elk afzonderlijk hanteerbaar lijken, terwijl niemand het geheel ziet. Dit is het moment om het gesprek voor het eerst te voeren.</v>
      </c>
      <c r="C9" s="49"/>
      <c r="D9" s="49"/>
      <c r="E9" s="49"/>
      <c r="F9" s="49"/>
      <c r="G9" s="49"/>
      <c r="H9" s="49"/>
    </row>
    <row r="10" spans="1:8" ht="15" customHeight="1" x14ac:dyDescent="0.2">
      <c r="B10" s="49"/>
      <c r="C10" s="49"/>
      <c r="D10" s="49"/>
      <c r="E10" s="49"/>
      <c r="F10" s="49"/>
      <c r="G10" s="49"/>
      <c r="H10" s="49"/>
    </row>
    <row r="11" spans="1:8" ht="15" customHeight="1" x14ac:dyDescent="0.2">
      <c r="B11" s="11" t="str">
        <f>IF(_calc!B14=0,"",_i18n!$D$13)</f>
        <v>Aanbeveling</v>
      </c>
      <c r="C11" s="11"/>
      <c r="D11" s="11"/>
      <c r="E11" s="11"/>
      <c r="F11" s="11"/>
      <c r="G11" s="11"/>
      <c r="H11" s="11"/>
    </row>
    <row r="12" spans="1:8" ht="30" customHeight="1" x14ac:dyDescent="0.2">
      <c r="B12" s="12" t="str">
        <f>_calc!B26</f>
        <v>De eerste stap is het gesprek zelf. Breng AI, cyber en leveranciersafhankelijkheid voor het eerst samen op de bestuurstafel, benoem wat kritiek is en wie eigenaar is, en maak zichtbaar wat nog onbekend is. Onzekerheid is bestuurbaar zodra zij expliciet wordt.</v>
      </c>
      <c r="C12" s="12"/>
      <c r="D12" s="12"/>
      <c r="E12" s="12"/>
      <c r="F12" s="12"/>
      <c r="G12" s="12"/>
      <c r="H12" s="12"/>
    </row>
    <row r="13" spans="1:8" ht="33.75" customHeight="1" x14ac:dyDescent="0.2">
      <c r="B13" s="20" t="str">
        <f>_data!A2</f>
        <v>V1</v>
      </c>
      <c r="C13" s="50" t="str">
        <f>_data!U2</f>
        <v>Bespreken wij AI, cyber en leveranciersafhankelijkheid als één samenhangende opgave?</v>
      </c>
      <c r="D13" s="50"/>
      <c r="E13" s="50"/>
      <c r="F13" s="50"/>
      <c r="G13" s="50"/>
      <c r="H13" s="21" t="str">
        <f>_data!AD2</f>
        <v>Zwaar ×1,5</v>
      </c>
    </row>
    <row r="14" spans="1:8" ht="25.5" customHeight="1" x14ac:dyDescent="0.2">
      <c r="C14" s="51" t="str">
        <f>_data!V2</f>
        <v>AI gebruikt data, data staat in systemen, systemen leunen op leveranciers — wie de drie apart belegt, ziet het geheel niet.</v>
      </c>
      <c r="D14" s="51"/>
      <c r="E14" s="51"/>
      <c r="F14" s="51"/>
      <c r="G14" s="51"/>
      <c r="H14" s="51"/>
    </row>
    <row r="15" spans="1:8" ht="24" customHeight="1" x14ac:dyDescent="0.2">
      <c r="B15" s="22">
        <v>1</v>
      </c>
      <c r="C15" s="52" t="str">
        <f>_data!W2</f>
        <v>De drie onderwerpen liggen bij verschillende afdelingen en komen niet samen op de bestuurstafel.</v>
      </c>
      <c r="D15" s="52"/>
      <c r="E15" s="52"/>
      <c r="F15" s="52"/>
      <c r="G15" s="52"/>
      <c r="H15" s="52"/>
    </row>
    <row r="16" spans="1:8" ht="24" customHeight="1" x14ac:dyDescent="0.2">
      <c r="B16" s="22">
        <v>2</v>
      </c>
      <c r="C16" s="52" t="str">
        <f>_data!X2</f>
        <v>We benoemen ze los; de samenhang wordt zelden expliciet gemaakt.</v>
      </c>
      <c r="D16" s="52"/>
      <c r="E16" s="52"/>
      <c r="F16" s="52"/>
      <c r="G16" s="52"/>
      <c r="H16" s="52"/>
    </row>
    <row r="17" spans="2:8" ht="24" customHeight="1" x14ac:dyDescent="0.2">
      <c r="B17" s="22">
        <v>3</v>
      </c>
      <c r="C17" s="52" t="str">
        <f>_data!Y2</f>
        <v>We zien de samenhang en agenderen die soms gezamenlijk.</v>
      </c>
      <c r="D17" s="52"/>
      <c r="E17" s="52"/>
      <c r="F17" s="52"/>
      <c r="G17" s="52"/>
      <c r="H17" s="52"/>
    </row>
    <row r="18" spans="2:8" ht="24" customHeight="1" x14ac:dyDescent="0.2">
      <c r="B18" s="22">
        <v>4</v>
      </c>
      <c r="C18" s="52" t="str">
        <f>_data!Z2</f>
        <v>We bespreken de drie consequent als één opgave en kunnen aangeven waar ze elkaar raken.</v>
      </c>
      <c r="D18" s="52"/>
      <c r="E18" s="52"/>
      <c r="F18" s="52"/>
      <c r="G18" s="52"/>
      <c r="H18" s="52"/>
    </row>
    <row r="19" spans="2:8" ht="19.5" customHeight="1" x14ac:dyDescent="0.2">
      <c r="C19" s="53" t="str">
        <f>_i18n!$D$35</f>
        <v>Welk antwoord ligt het dichtst bij uw instelling?</v>
      </c>
      <c r="D19" s="53"/>
      <c r="E19" s="53"/>
      <c r="F19" s="21" t="str">
        <f>_i18n!$D$53</f>
        <v>Antwoord (1–4)</v>
      </c>
      <c r="G19" s="23"/>
    </row>
    <row r="20" spans="2:8" ht="19.5" customHeight="1" x14ac:dyDescent="0.2">
      <c r="C20" s="54" t="str">
        <f>IF(G19="","→ …","→ "&amp;INDEX(_data!$W2:$Z2,G19))</f>
        <v>→ …</v>
      </c>
      <c r="D20" s="54"/>
      <c r="E20" s="54"/>
      <c r="F20" s="54"/>
      <c r="G20" s="24" t="str">
        <f>IF(G19="","—",_calc!D2)</f>
        <v>—</v>
      </c>
      <c r="H20" s="25" t="str">
        <f>_i18n!$D$36</f>
        <v>Bijdrage aan de score</v>
      </c>
    </row>
    <row r="21" spans="2:8" ht="15" customHeight="1" x14ac:dyDescent="0.2">
      <c r="B21" s="26"/>
      <c r="C21" s="26"/>
      <c r="D21" s="26"/>
      <c r="E21" s="26"/>
      <c r="F21" s="26"/>
      <c r="G21" s="26"/>
      <c r="H21" s="26"/>
    </row>
    <row r="22" spans="2:8" ht="33.75" customHeight="1" x14ac:dyDescent="0.2">
      <c r="B22" s="20" t="str">
        <f>_data!A3</f>
        <v>V2</v>
      </c>
      <c r="C22" s="50" t="str">
        <f>_data!U3</f>
        <v>Weten wij welke digitale afhankelijkheden de missie rechtstreeks raken?</v>
      </c>
      <c r="D22" s="50"/>
      <c r="E22" s="50"/>
      <c r="F22" s="50"/>
      <c r="G22" s="50"/>
      <c r="H22" s="21" t="str">
        <f>_data!AD3</f>
        <v>Zwaar ×1,5</v>
      </c>
    </row>
    <row r="23" spans="2:8" ht="25.5" customHeight="1" x14ac:dyDescent="0.2">
      <c r="C23" s="51" t="str">
        <f>_data!V3</f>
        <v>Niet algemene digitale volwassenheid, maar wat voor déze instelling werkelijk kritisch is — collectie, ticketing, metadata of aanvraagproces.</v>
      </c>
      <c r="D23" s="51"/>
      <c r="E23" s="51"/>
      <c r="F23" s="51"/>
      <c r="G23" s="51"/>
      <c r="H23" s="51"/>
    </row>
    <row r="24" spans="2:8" ht="24" customHeight="1" x14ac:dyDescent="0.2">
      <c r="B24" s="22">
        <v>1</v>
      </c>
      <c r="C24" s="52" t="str">
        <f>_data!W3</f>
        <v>We onderscheiden kritieke en bijkomstige systemen niet.</v>
      </c>
      <c r="D24" s="52"/>
      <c r="E24" s="52"/>
      <c r="F24" s="52"/>
      <c r="G24" s="52"/>
      <c r="H24" s="52"/>
    </row>
    <row r="25" spans="2:8" ht="24" customHeight="1" x14ac:dyDescent="0.2">
      <c r="B25" s="22">
        <v>2</v>
      </c>
      <c r="C25" s="52" t="str">
        <f>_data!X3</f>
        <v>Er is een globaal beeld, maar het is niet gekoppeld aan de missie.</v>
      </c>
      <c r="D25" s="52"/>
      <c r="E25" s="52"/>
      <c r="F25" s="52"/>
      <c r="G25" s="52"/>
      <c r="H25" s="52"/>
    </row>
    <row r="26" spans="2:8" ht="24" customHeight="1" x14ac:dyDescent="0.2">
      <c r="B26" s="22">
        <v>3</v>
      </c>
      <c r="C26" s="52" t="str">
        <f>_data!Y3</f>
        <v>De belangrijkste missiekritische afhankelijkheden zijn benoemd.</v>
      </c>
      <c r="D26" s="52"/>
      <c r="E26" s="52"/>
      <c r="F26" s="52"/>
      <c r="G26" s="52"/>
      <c r="H26" s="52"/>
    </row>
    <row r="27" spans="2:8" ht="24" customHeight="1" x14ac:dyDescent="0.2">
      <c r="B27" s="22">
        <v>4</v>
      </c>
      <c r="C27" s="52" t="str">
        <f>_data!Z3</f>
        <v>Per missiekritisch proces kennen we de afhankelijkheid, de eigenaar en het herstelpad.</v>
      </c>
      <c r="D27" s="52"/>
      <c r="E27" s="52"/>
      <c r="F27" s="52"/>
      <c r="G27" s="52"/>
      <c r="H27" s="52"/>
    </row>
    <row r="28" spans="2:8" ht="19.5" customHeight="1" x14ac:dyDescent="0.2">
      <c r="C28" s="53" t="str">
        <f>_i18n!$D$35</f>
        <v>Welk antwoord ligt het dichtst bij uw instelling?</v>
      </c>
      <c r="D28" s="53"/>
      <c r="E28" s="53"/>
      <c r="F28" s="21" t="str">
        <f>_i18n!$D$53</f>
        <v>Antwoord (1–4)</v>
      </c>
      <c r="G28" s="23"/>
    </row>
    <row r="29" spans="2:8" ht="19.5" customHeight="1" x14ac:dyDescent="0.2">
      <c r="C29" s="54" t="str">
        <f>IF(G28="","→ …","→ "&amp;INDEX(_data!$W3:$Z3,G28))</f>
        <v>→ …</v>
      </c>
      <c r="D29" s="54"/>
      <c r="E29" s="54"/>
      <c r="F29" s="54"/>
      <c r="G29" s="24" t="str">
        <f>IF(G28="","—",_calc!D3)</f>
        <v>—</v>
      </c>
      <c r="H29" s="25" t="str">
        <f>_i18n!$D$36</f>
        <v>Bijdrage aan de score</v>
      </c>
    </row>
    <row r="30" spans="2:8" ht="15" customHeight="1" x14ac:dyDescent="0.2">
      <c r="B30" s="26"/>
      <c r="C30" s="26"/>
      <c r="D30" s="26"/>
      <c r="E30" s="26"/>
      <c r="F30" s="26"/>
      <c r="G30" s="26"/>
      <c r="H30" s="26"/>
    </row>
    <row r="31" spans="2:8" ht="33.75" customHeight="1" x14ac:dyDescent="0.2">
      <c r="B31" s="20" t="str">
        <f>_data!A4</f>
        <v>V3</v>
      </c>
      <c r="C31" s="50" t="str">
        <f>_data!U4</f>
        <v>Stelt de raad van toezicht zelf zijn informatiebehoefte op, of wacht hij op de directie?</v>
      </c>
      <c r="D31" s="50"/>
      <c r="E31" s="50"/>
      <c r="F31" s="50"/>
      <c r="G31" s="50"/>
      <c r="H31" s="21" t="str">
        <f>_data!AD4</f>
        <v>Standaard</v>
      </c>
    </row>
    <row r="32" spans="2:8" ht="25.5" customHeight="1" x14ac:dyDescent="0.2">
      <c r="C32" s="51" t="str">
        <f>_data!V4</f>
        <v>De raad heeft zicht nodig op kritieke afhankelijkheden, open risico’s, incidenten en eigenaarschap — én op wat nog onbekend is.</v>
      </c>
      <c r="D32" s="51"/>
      <c r="E32" s="51"/>
      <c r="F32" s="51"/>
      <c r="G32" s="51"/>
      <c r="H32" s="51"/>
    </row>
    <row r="33" spans="2:8" ht="24" customHeight="1" x14ac:dyDescent="0.2">
      <c r="B33" s="22">
        <v>1</v>
      </c>
      <c r="C33" s="52" t="str">
        <f>_data!W4</f>
        <v>De raad ontvangt vooral geruststellende samenvattingen en vraagt zelden door.</v>
      </c>
      <c r="D33" s="52"/>
      <c r="E33" s="52"/>
      <c r="F33" s="52"/>
      <c r="G33" s="52"/>
      <c r="H33" s="52"/>
    </row>
    <row r="34" spans="2:8" ht="24" customHeight="1" x14ac:dyDescent="0.2">
      <c r="B34" s="22">
        <v>2</v>
      </c>
      <c r="C34" s="52" t="str">
        <f>_data!X4</f>
        <v>De raad reageert op wat de directie agendeert, maar vraagt niet zelf uit.</v>
      </c>
      <c r="D34" s="52"/>
      <c r="E34" s="52"/>
      <c r="F34" s="52"/>
      <c r="G34" s="52"/>
      <c r="H34" s="52"/>
    </row>
    <row r="35" spans="2:8" ht="24" customHeight="1" x14ac:dyDescent="0.2">
      <c r="B35" s="22">
        <v>3</v>
      </c>
      <c r="C35" s="52" t="str">
        <f>_data!Y4</f>
        <v>De raad benoemt welke informatie hij nodig heeft en vraagt daar gericht naar.</v>
      </c>
      <c r="D35" s="52"/>
      <c r="E35" s="52"/>
      <c r="F35" s="52"/>
      <c r="G35" s="52"/>
      <c r="H35" s="52"/>
    </row>
    <row r="36" spans="2:8" ht="24" customHeight="1" x14ac:dyDescent="0.2">
      <c r="B36" s="22">
        <v>4</v>
      </c>
      <c r="C36" s="52" t="str">
        <f>_data!Z4</f>
        <v>De raad stelt zijn informatiebehoefte zelf op, inclusief wat nog onbekend is.</v>
      </c>
      <c r="D36" s="52"/>
      <c r="E36" s="52"/>
      <c r="F36" s="52"/>
      <c r="G36" s="52"/>
      <c r="H36" s="52"/>
    </row>
    <row r="37" spans="2:8" ht="19.5" customHeight="1" x14ac:dyDescent="0.2">
      <c r="C37" s="53" t="str">
        <f>_i18n!$D$35</f>
        <v>Welk antwoord ligt het dichtst bij uw instelling?</v>
      </c>
      <c r="D37" s="53"/>
      <c r="E37" s="53"/>
      <c r="F37" s="21" t="str">
        <f>_i18n!$D$53</f>
        <v>Antwoord (1–4)</v>
      </c>
      <c r="G37" s="23"/>
    </row>
    <row r="38" spans="2:8" ht="19.5" customHeight="1" x14ac:dyDescent="0.2">
      <c r="C38" s="54" t="str">
        <f>IF(G37="","→ …","→ "&amp;INDEX(_data!$W4:$Z4,G37))</f>
        <v>→ …</v>
      </c>
      <c r="D38" s="54"/>
      <c r="E38" s="54"/>
      <c r="F38" s="54"/>
      <c r="G38" s="24" t="str">
        <f>IF(G37="","—",_calc!D4)</f>
        <v>—</v>
      </c>
      <c r="H38" s="25" t="str">
        <f>_i18n!$D$36</f>
        <v>Bijdrage aan de score</v>
      </c>
    </row>
    <row r="39" spans="2:8" ht="15" customHeight="1" x14ac:dyDescent="0.2">
      <c r="B39" s="26"/>
      <c r="C39" s="26"/>
      <c r="D39" s="26"/>
      <c r="E39" s="26"/>
      <c r="F39" s="26"/>
      <c r="G39" s="26"/>
      <c r="H39" s="26"/>
    </row>
    <row r="40" spans="2:8" ht="33.75" customHeight="1" x14ac:dyDescent="0.2">
      <c r="B40" s="20" t="str">
        <f>_data!A5</f>
        <v>V4</v>
      </c>
      <c r="C40" s="50" t="str">
        <f>_data!U5</f>
        <v>Is helder waar menselijke controle verplicht blijft?</v>
      </c>
      <c r="D40" s="50"/>
      <c r="E40" s="50"/>
      <c r="F40" s="50"/>
      <c r="G40" s="50"/>
      <c r="H40" s="21" t="str">
        <f>_data!AD5</f>
        <v>Standaard</v>
      </c>
    </row>
    <row r="41" spans="2:8" ht="25.5" customHeight="1" x14ac:dyDescent="0.2">
      <c r="C41" s="51" t="str">
        <f>_data!V5</f>
        <v>Bij publieksinformatie, gevoelige interpretatie, personele en subsidiebesluiten, incidentcommunicatie en contractkeuzes — daar landt verantwoordelijkheid.</v>
      </c>
      <c r="D41" s="51"/>
      <c r="E41" s="51"/>
      <c r="F41" s="51"/>
      <c r="G41" s="51"/>
      <c r="H41" s="51"/>
    </row>
    <row r="42" spans="2:8" ht="24" customHeight="1" x14ac:dyDescent="0.2">
      <c r="B42" s="22">
        <v>1</v>
      </c>
      <c r="C42" s="52" t="str">
        <f>_data!W5</f>
        <v>Er is geen afspraak over waar een mens het laatste woord heeft.</v>
      </c>
      <c r="D42" s="52"/>
      <c r="E42" s="52"/>
      <c r="F42" s="52"/>
      <c r="G42" s="52"/>
      <c r="H42" s="52"/>
    </row>
    <row r="43" spans="2:8" ht="24" customHeight="1" x14ac:dyDescent="0.2">
      <c r="B43" s="22">
        <v>2</v>
      </c>
      <c r="C43" s="52" t="str">
        <f>_data!X5</f>
        <v>Het gebeurt informeel, per situatie, zonder vastgelegd kader.</v>
      </c>
      <c r="D43" s="52"/>
      <c r="E43" s="52"/>
      <c r="F43" s="52"/>
      <c r="G43" s="52"/>
      <c r="H43" s="52"/>
    </row>
    <row r="44" spans="2:8" ht="24" customHeight="1" x14ac:dyDescent="0.2">
      <c r="B44" s="22">
        <v>3</v>
      </c>
      <c r="C44" s="52" t="str">
        <f>_data!Y5</f>
        <v>Voor de gevoeligste processen is menselijke controle benoemd.</v>
      </c>
      <c r="D44" s="52"/>
      <c r="E44" s="52"/>
      <c r="F44" s="52"/>
      <c r="G44" s="52"/>
      <c r="H44" s="52"/>
    </row>
    <row r="45" spans="2:8" ht="24" customHeight="1" x14ac:dyDescent="0.2">
      <c r="B45" s="22">
        <v>4</v>
      </c>
      <c r="C45" s="52" t="str">
        <f>_data!Z5</f>
        <v>Voor alle hoogrisicoprocessen is menselijke controle expliciet aangewezen en toetsbaar.</v>
      </c>
      <c r="D45" s="52"/>
      <c r="E45" s="52"/>
      <c r="F45" s="52"/>
      <c r="G45" s="52"/>
      <c r="H45" s="52"/>
    </row>
    <row r="46" spans="2:8" ht="19.5" customHeight="1" x14ac:dyDescent="0.2">
      <c r="C46" s="53" t="str">
        <f>_i18n!$D$35</f>
        <v>Welk antwoord ligt het dichtst bij uw instelling?</v>
      </c>
      <c r="D46" s="53"/>
      <c r="E46" s="53"/>
      <c r="F46" s="21" t="str">
        <f>_i18n!$D$53</f>
        <v>Antwoord (1–4)</v>
      </c>
      <c r="G46" s="23"/>
    </row>
    <row r="47" spans="2:8" ht="19.5" customHeight="1" x14ac:dyDescent="0.2">
      <c r="C47" s="54" t="str">
        <f>IF(G46="","→ …","→ "&amp;INDEX(_data!$W5:$Z5,G46))</f>
        <v>→ …</v>
      </c>
      <c r="D47" s="54"/>
      <c r="E47" s="54"/>
      <c r="F47" s="54"/>
      <c r="G47" s="24" t="str">
        <f>IF(G46="","—",_calc!D5)</f>
        <v>—</v>
      </c>
      <c r="H47" s="25" t="str">
        <f>_i18n!$D$36</f>
        <v>Bijdrage aan de score</v>
      </c>
    </row>
    <row r="48" spans="2:8" ht="15" customHeight="1" x14ac:dyDescent="0.2">
      <c r="B48" s="26"/>
      <c r="C48" s="26"/>
      <c r="D48" s="26"/>
      <c r="E48" s="26"/>
      <c r="F48" s="26"/>
      <c r="G48" s="26"/>
      <c r="H48" s="26"/>
    </row>
    <row r="49" spans="2:8" ht="33.75" customHeight="1" x14ac:dyDescent="0.2">
      <c r="B49" s="20" t="str">
        <f>_data!A6</f>
        <v>V5</v>
      </c>
      <c r="C49" s="50" t="str">
        <f>_data!U6</f>
        <v>Weten wij welke risico’s wij bewust accepteren, en waarom?</v>
      </c>
      <c r="D49" s="50"/>
      <c r="E49" s="50"/>
      <c r="F49" s="50"/>
      <c r="G49" s="50"/>
      <c r="H49" s="21" t="str">
        <f>_data!AD6</f>
        <v>Zwaar ×1,5</v>
      </c>
    </row>
    <row r="50" spans="2:8" ht="25.5" customHeight="1" x14ac:dyDescent="0.2">
      <c r="C50" s="51" t="str">
        <f>_data!V6</f>
        <v>Een risico dat niet bekend is, is geen geaccepteerd risico — het is een blinde vlek.</v>
      </c>
      <c r="D50" s="51"/>
      <c r="E50" s="51"/>
      <c r="F50" s="51"/>
      <c r="G50" s="51"/>
      <c r="H50" s="51"/>
    </row>
    <row r="51" spans="2:8" ht="24" customHeight="1" x14ac:dyDescent="0.2">
      <c r="B51" s="22">
        <v>1</v>
      </c>
      <c r="C51" s="52" t="str">
        <f>_data!W6</f>
        <v>We hebben niet expliciet naar restrisico gekeken.</v>
      </c>
      <c r="D51" s="52"/>
      <c r="E51" s="52"/>
      <c r="F51" s="52"/>
      <c r="G51" s="52"/>
      <c r="H51" s="52"/>
    </row>
    <row r="52" spans="2:8" ht="24" customHeight="1" x14ac:dyDescent="0.2">
      <c r="B52" s="22">
        <v>2</v>
      </c>
      <c r="C52" s="52" t="str">
        <f>_data!X6</f>
        <v>We weten dat er restrisico is, maar niet welk of waarom het aanvaardbaar is.</v>
      </c>
      <c r="D52" s="52"/>
      <c r="E52" s="52"/>
      <c r="F52" s="52"/>
      <c r="G52" s="52"/>
      <c r="H52" s="52"/>
    </row>
    <row r="53" spans="2:8" ht="24" customHeight="1" x14ac:dyDescent="0.2">
      <c r="B53" s="22">
        <v>3</v>
      </c>
      <c r="C53" s="52" t="str">
        <f>_data!Y6</f>
        <v>De belangrijkste restrisico’s zijn benoemd en besproken.</v>
      </c>
      <c r="D53" s="52"/>
      <c r="E53" s="52"/>
      <c r="F53" s="52"/>
      <c r="G53" s="52"/>
      <c r="H53" s="52"/>
    </row>
    <row r="54" spans="2:8" ht="24" customHeight="1" x14ac:dyDescent="0.2">
      <c r="B54" s="22">
        <v>4</v>
      </c>
      <c r="C54" s="52" t="str">
        <f>_data!Z6</f>
        <v>Per kritiek terrein kennen we het restrisico, weten we waarom het aanvaardbaar is en herijken we het periodiek.</v>
      </c>
      <c r="D54" s="52"/>
      <c r="E54" s="52"/>
      <c r="F54" s="52"/>
      <c r="G54" s="52"/>
      <c r="H54" s="52"/>
    </row>
    <row r="55" spans="2:8" ht="19.5" customHeight="1" x14ac:dyDescent="0.2">
      <c r="C55" s="53" t="str">
        <f>_i18n!$D$35</f>
        <v>Welk antwoord ligt het dichtst bij uw instelling?</v>
      </c>
      <c r="D55" s="53"/>
      <c r="E55" s="53"/>
      <c r="F55" s="21" t="str">
        <f>_i18n!$D$53</f>
        <v>Antwoord (1–4)</v>
      </c>
      <c r="G55" s="23"/>
    </row>
    <row r="56" spans="2:8" ht="19.5" customHeight="1" x14ac:dyDescent="0.2">
      <c r="C56" s="54" t="str">
        <f>IF(G55="","→ …","→ "&amp;INDEX(_data!$W6:$Z6,G55))</f>
        <v>→ …</v>
      </c>
      <c r="D56" s="54"/>
      <c r="E56" s="54"/>
      <c r="F56" s="54"/>
      <c r="G56" s="24" t="str">
        <f>IF(G55="","—",_calc!D6)</f>
        <v>—</v>
      </c>
      <c r="H56" s="25" t="str">
        <f>_i18n!$D$36</f>
        <v>Bijdrage aan de score</v>
      </c>
    </row>
    <row r="57" spans="2:8" ht="15" customHeight="1" x14ac:dyDescent="0.2">
      <c r="B57" s="26"/>
      <c r="C57" s="26"/>
      <c r="D57" s="26"/>
      <c r="E57" s="26"/>
      <c r="F57" s="26"/>
      <c r="G57" s="26"/>
      <c r="H57" s="26"/>
    </row>
    <row r="58" spans="2:8" ht="33.75" customHeight="1" x14ac:dyDescent="0.2">
      <c r="B58" s="20" t="str">
        <f>_data!A7</f>
        <v>V6</v>
      </c>
      <c r="C58" s="50" t="str">
        <f>_data!U7</f>
        <v>Weten medewerkers wat van hen wordt verwacht?</v>
      </c>
      <c r="D58" s="50"/>
      <c r="E58" s="50"/>
      <c r="F58" s="50"/>
      <c r="G58" s="50"/>
      <c r="H58" s="21" t="str">
        <f>_data!AD7</f>
        <v>Standaard</v>
      </c>
    </row>
    <row r="59" spans="2:8" ht="25.5" customHeight="1" x14ac:dyDescent="0.2">
      <c r="C59" s="51" t="str">
        <f>_data!V7</f>
        <v>AI-beleid dat niemand kent werkt niet; cyberprocedures die niet geoefend zijn werken niet.</v>
      </c>
      <c r="D59" s="51"/>
      <c r="E59" s="51"/>
      <c r="F59" s="51"/>
      <c r="G59" s="51"/>
      <c r="H59" s="51"/>
    </row>
    <row r="60" spans="2:8" ht="24" customHeight="1" x14ac:dyDescent="0.2">
      <c r="B60" s="22">
        <v>1</v>
      </c>
      <c r="C60" s="52" t="str">
        <f>_data!W7</f>
        <v>Afspraken bestaan op papier maar zijn medewerkers niet bekend.</v>
      </c>
      <c r="D60" s="52"/>
      <c r="E60" s="52"/>
      <c r="F60" s="52"/>
      <c r="G60" s="52"/>
      <c r="H60" s="52"/>
    </row>
    <row r="61" spans="2:8" ht="24" customHeight="1" x14ac:dyDescent="0.2">
      <c r="B61" s="22">
        <v>2</v>
      </c>
      <c r="C61" s="52" t="str">
        <f>_data!X7</f>
        <v>Er zijn richtlijnen, maar ze zijn niet vertaald naar dagelijkse praktijk.</v>
      </c>
      <c r="D61" s="52"/>
      <c r="E61" s="52"/>
      <c r="F61" s="52"/>
      <c r="G61" s="52"/>
      <c r="H61" s="52"/>
    </row>
    <row r="62" spans="2:8" ht="24" customHeight="1" x14ac:dyDescent="0.2">
      <c r="B62" s="22">
        <v>3</v>
      </c>
      <c r="C62" s="52" t="str">
        <f>_data!Y7</f>
        <v>Medewerkers kennen de hoofdlijnen; sommige procedures zijn geoefend.</v>
      </c>
      <c r="D62" s="52"/>
      <c r="E62" s="52"/>
      <c r="F62" s="52"/>
      <c r="G62" s="52"/>
      <c r="H62" s="52"/>
    </row>
    <row r="63" spans="2:8" ht="24" customHeight="1" x14ac:dyDescent="0.2">
      <c r="B63" s="22">
        <v>4</v>
      </c>
      <c r="C63" s="52" t="str">
        <f>_data!Z7</f>
        <v>Bestuurlijke afspraken zijn vertaald naar werkpraktijk en worden periodiek geoefend.</v>
      </c>
      <c r="D63" s="52"/>
      <c r="E63" s="52"/>
      <c r="F63" s="52"/>
      <c r="G63" s="52"/>
      <c r="H63" s="52"/>
    </row>
    <row r="64" spans="2:8" ht="19.5" customHeight="1" x14ac:dyDescent="0.2">
      <c r="C64" s="53" t="str">
        <f>_i18n!$D$35</f>
        <v>Welk antwoord ligt het dichtst bij uw instelling?</v>
      </c>
      <c r="D64" s="53"/>
      <c r="E64" s="53"/>
      <c r="F64" s="21" t="str">
        <f>_i18n!$D$53</f>
        <v>Antwoord (1–4)</v>
      </c>
      <c r="G64" s="23"/>
    </row>
    <row r="65" spans="2:8" ht="19.5" customHeight="1" x14ac:dyDescent="0.2">
      <c r="C65" s="54" t="str">
        <f>IF(G64="","→ …","→ "&amp;INDEX(_data!$W7:$Z7,G64))</f>
        <v>→ …</v>
      </c>
      <c r="D65" s="54"/>
      <c r="E65" s="54"/>
      <c r="F65" s="54"/>
      <c r="G65" s="24" t="str">
        <f>IF(G64="","—",_calc!D7)</f>
        <v>—</v>
      </c>
      <c r="H65" s="25" t="str">
        <f>_i18n!$D$36</f>
        <v>Bijdrage aan de score</v>
      </c>
    </row>
    <row r="66" spans="2:8" ht="15" customHeight="1" x14ac:dyDescent="0.2">
      <c r="B66" s="26"/>
      <c r="C66" s="26"/>
      <c r="D66" s="26"/>
      <c r="E66" s="26"/>
      <c r="F66" s="26"/>
      <c r="G66" s="26"/>
      <c r="H66" s="26"/>
    </row>
    <row r="67" spans="2:8" ht="33.75" customHeight="1" x14ac:dyDescent="0.2">
      <c r="B67" s="20" t="str">
        <f>_data!A8</f>
        <v>V7</v>
      </c>
      <c r="C67" s="50" t="str">
        <f>_data!U8</f>
        <v>Kunnen wij uitleggen hoe wij omgaan met makers, bronnen en publiek?</v>
      </c>
      <c r="D67" s="50"/>
      <c r="E67" s="50"/>
      <c r="F67" s="50"/>
      <c r="G67" s="50"/>
      <c r="H67" s="21" t="str">
        <f>_data!AD8</f>
        <v>Standaard</v>
      </c>
    </row>
    <row r="68" spans="2:8" ht="25.5" customHeight="1" x14ac:dyDescent="0.2">
      <c r="C68" s="51" t="str">
        <f>_data!V8</f>
        <v>Bronnen respecteren, synthetische elementen markeren, bias herkennen en correctie mogelijk maken.</v>
      </c>
      <c r="D68" s="51"/>
      <c r="E68" s="51"/>
      <c r="F68" s="51"/>
      <c r="G68" s="51"/>
      <c r="H68" s="51"/>
    </row>
    <row r="69" spans="2:8" ht="24" customHeight="1" x14ac:dyDescent="0.2">
      <c r="B69" s="22">
        <v>1</v>
      </c>
      <c r="C69" s="52" t="str">
        <f>_data!W8</f>
        <v>Hier is geen beleid en geen gedeeld beeld over.</v>
      </c>
      <c r="D69" s="52"/>
      <c r="E69" s="52"/>
      <c r="F69" s="52"/>
      <c r="G69" s="52"/>
      <c r="H69" s="52"/>
    </row>
    <row r="70" spans="2:8" ht="24" customHeight="1" x14ac:dyDescent="0.2">
      <c r="B70" s="22">
        <v>2</v>
      </c>
      <c r="C70" s="52" t="str">
        <f>_data!X8</f>
        <v>We hebben losse uitgangspunten, maar geen consistente lijn.</v>
      </c>
      <c r="D70" s="52"/>
      <c r="E70" s="52"/>
      <c r="F70" s="52"/>
      <c r="G70" s="52"/>
      <c r="H70" s="52"/>
    </row>
    <row r="71" spans="2:8" ht="24" customHeight="1" x14ac:dyDescent="0.2">
      <c r="B71" s="22">
        <v>3</v>
      </c>
      <c r="C71" s="52" t="str">
        <f>_data!Y8</f>
        <v>We markeren en verantwoorden op de meeste plekken bewust.</v>
      </c>
      <c r="D71" s="52"/>
      <c r="E71" s="52"/>
      <c r="F71" s="52"/>
      <c r="G71" s="52"/>
      <c r="H71" s="52"/>
    </row>
    <row r="72" spans="2:8" ht="24" customHeight="1" x14ac:dyDescent="0.2">
      <c r="B72" s="22">
        <v>4</v>
      </c>
      <c r="C72" s="52" t="str">
        <f>_data!Z8</f>
        <v>We kunnen aantoonbaar uitleggen hoe we bronnen respecteren, synthetisch markeren en correctie mogelijk maken.</v>
      </c>
      <c r="D72" s="52"/>
      <c r="E72" s="52"/>
      <c r="F72" s="52"/>
      <c r="G72" s="52"/>
      <c r="H72" s="52"/>
    </row>
    <row r="73" spans="2:8" ht="19.5" customHeight="1" x14ac:dyDescent="0.2">
      <c r="C73" s="53" t="str">
        <f>_i18n!$D$35</f>
        <v>Welk antwoord ligt het dichtst bij uw instelling?</v>
      </c>
      <c r="D73" s="53"/>
      <c r="E73" s="53"/>
      <c r="F73" s="21" t="str">
        <f>_i18n!$D$53</f>
        <v>Antwoord (1–4)</v>
      </c>
      <c r="G73" s="23"/>
    </row>
    <row r="74" spans="2:8" ht="19.5" customHeight="1" x14ac:dyDescent="0.2">
      <c r="C74" s="54" t="str">
        <f>IF(G73="","→ …","→ "&amp;INDEX(_data!$W8:$Z8,G73))</f>
        <v>→ …</v>
      </c>
      <c r="D74" s="54"/>
      <c r="E74" s="54"/>
      <c r="F74" s="54"/>
      <c r="G74" s="24" t="str">
        <f>IF(G73="","—",_calc!D8)</f>
        <v>—</v>
      </c>
      <c r="H74" s="25" t="str">
        <f>_i18n!$D$36</f>
        <v>Bijdrage aan de score</v>
      </c>
    </row>
    <row r="75" spans="2:8" ht="15" customHeight="1" x14ac:dyDescent="0.2">
      <c r="B75" s="26"/>
      <c r="C75" s="26"/>
      <c r="D75" s="26"/>
      <c r="E75" s="26"/>
      <c r="F75" s="26"/>
      <c r="G75" s="26"/>
      <c r="H75" s="26"/>
    </row>
    <row r="76" spans="2:8" ht="33.75" customHeight="1" x14ac:dyDescent="0.2">
      <c r="B76" s="20" t="str">
        <f>_data!A9</f>
        <v>V8</v>
      </c>
      <c r="C76" s="50" t="str">
        <f>_data!U9</f>
        <v>Organiseert de instelling voldoende tegenspraak?</v>
      </c>
      <c r="D76" s="50"/>
      <c r="E76" s="50"/>
      <c r="F76" s="50"/>
      <c r="G76" s="50"/>
      <c r="H76" s="21" t="str">
        <f>_data!AD9</f>
        <v>Standaard</v>
      </c>
    </row>
    <row r="77" spans="2:8" ht="25.5" customHeight="1" x14ac:dyDescent="0.2">
      <c r="C77" s="51" t="str">
        <f>_data!V9</f>
        <v>Digitale keuzes worden gedreven door snelheid, gemak of leveranciersdruk — hebben tegenstemmen werkelijk invloed?</v>
      </c>
      <c r="D77" s="51"/>
      <c r="E77" s="51"/>
      <c r="F77" s="51"/>
      <c r="G77" s="51"/>
      <c r="H77" s="51"/>
    </row>
    <row r="78" spans="2:8" ht="24" customHeight="1" x14ac:dyDescent="0.2">
      <c r="B78" s="22">
        <v>1</v>
      </c>
      <c r="C78" s="52" t="str">
        <f>_data!W9</f>
        <v>Beslissingen volgen snelheid en gemak; tegenspraak is er nauwelijks.</v>
      </c>
      <c r="D78" s="52"/>
      <c r="E78" s="52"/>
      <c r="F78" s="52"/>
      <c r="G78" s="52"/>
      <c r="H78" s="52"/>
    </row>
    <row r="79" spans="2:8" ht="24" customHeight="1" x14ac:dyDescent="0.2">
      <c r="B79" s="22">
        <v>2</v>
      </c>
      <c r="C79" s="52" t="str">
        <f>_data!X9</f>
        <v>Er is ruimte voor bezwaar, maar het verandert zelden een besluit.</v>
      </c>
      <c r="D79" s="52"/>
      <c r="E79" s="52"/>
      <c r="F79" s="52"/>
      <c r="G79" s="52"/>
      <c r="H79" s="52"/>
    </row>
    <row r="80" spans="2:8" ht="24" customHeight="1" x14ac:dyDescent="0.2">
      <c r="B80" s="22">
        <v>3</v>
      </c>
      <c r="C80" s="52" t="str">
        <f>_data!Y9</f>
        <v>Tegenspraak is georganiseerd en weegt soms mee.</v>
      </c>
      <c r="D80" s="52"/>
      <c r="E80" s="52"/>
      <c r="F80" s="52"/>
      <c r="G80" s="52"/>
      <c r="H80" s="52"/>
    </row>
    <row r="81" spans="2:8" ht="24" customHeight="1" x14ac:dyDescent="0.2">
      <c r="B81" s="22">
        <v>4</v>
      </c>
      <c r="C81" s="52" t="str">
        <f>_data!Z9</f>
        <v>Tegenstemmen — medewerkers, makers, juristen, publiek — hebben aantoonbaar invloed op besluiten.</v>
      </c>
      <c r="D81" s="52"/>
      <c r="E81" s="52"/>
      <c r="F81" s="52"/>
      <c r="G81" s="52"/>
      <c r="H81" s="52"/>
    </row>
    <row r="82" spans="2:8" ht="19.5" customHeight="1" x14ac:dyDescent="0.2">
      <c r="C82" s="53" t="str">
        <f>_i18n!$D$35</f>
        <v>Welk antwoord ligt het dichtst bij uw instelling?</v>
      </c>
      <c r="D82" s="53"/>
      <c r="E82" s="53"/>
      <c r="F82" s="21" t="str">
        <f>_i18n!$D$53</f>
        <v>Antwoord (1–4)</v>
      </c>
      <c r="G82" s="23"/>
    </row>
    <row r="83" spans="2:8" ht="19.5" customHeight="1" x14ac:dyDescent="0.2">
      <c r="C83" s="54" t="str">
        <f>IF(G82="","→ …","→ "&amp;INDEX(_data!$W9:$Z9,G82))</f>
        <v>→ …</v>
      </c>
      <c r="D83" s="54"/>
      <c r="E83" s="54"/>
      <c r="F83" s="54"/>
      <c r="G83" s="24" t="str">
        <f>IF(G82="","—",_calc!D9)</f>
        <v>—</v>
      </c>
      <c r="H83" s="25" t="str">
        <f>_i18n!$D$36</f>
        <v>Bijdrage aan de score</v>
      </c>
    </row>
    <row r="84" spans="2:8" ht="15" customHeight="1" x14ac:dyDescent="0.2">
      <c r="B84" s="26"/>
      <c r="C84" s="26"/>
      <c r="D84" s="26"/>
      <c r="E84" s="26"/>
      <c r="F84" s="26"/>
      <c r="G84" s="26"/>
      <c r="H84" s="26"/>
    </row>
    <row r="85" spans="2:8" ht="33.75" customHeight="1" x14ac:dyDescent="0.2">
      <c r="B85" s="20" t="str">
        <f>_data!A10</f>
        <v>V9</v>
      </c>
      <c r="C85" s="50" t="str">
        <f>_data!U10</f>
        <v>Weten wij waar sectorale samenwerking meer waarde heeft dan individuele actie?</v>
      </c>
      <c r="D85" s="50"/>
      <c r="E85" s="50"/>
      <c r="F85" s="50"/>
      <c r="G85" s="50"/>
      <c r="H85" s="21" t="str">
        <f>_data!AD10</f>
        <v>Standaard</v>
      </c>
    </row>
    <row r="86" spans="2:8" ht="25.5" customHeight="1" x14ac:dyDescent="0.2">
      <c r="C86" s="51" t="str">
        <f>_data!V10</f>
        <v>Sommige risico’s zijn te groot of te complex voor één instelling.</v>
      </c>
      <c r="D86" s="51"/>
      <c r="E86" s="51"/>
      <c r="F86" s="51"/>
      <c r="G86" s="51"/>
      <c r="H86" s="51"/>
    </row>
    <row r="87" spans="2:8" ht="24" customHeight="1" x14ac:dyDescent="0.2">
      <c r="B87" s="22">
        <v>1</v>
      </c>
      <c r="C87" s="52" t="str">
        <f>_data!W10</f>
        <v>Samenwerking is geen onderwerp; we lossen alles zelf op.</v>
      </c>
      <c r="D87" s="52"/>
      <c r="E87" s="52"/>
      <c r="F87" s="52"/>
      <c r="G87" s="52"/>
      <c r="H87" s="52"/>
    </row>
    <row r="88" spans="2:8" ht="24" customHeight="1" x14ac:dyDescent="0.2">
      <c r="B88" s="22">
        <v>2</v>
      </c>
      <c r="C88" s="52" t="str">
        <f>_data!X10</f>
        <v>We werken incidenteel samen, zonder afweging waar dat het meest helpt.</v>
      </c>
      <c r="D88" s="52"/>
      <c r="E88" s="52"/>
      <c r="F88" s="52"/>
      <c r="G88" s="52"/>
      <c r="H88" s="52"/>
    </row>
    <row r="89" spans="2:8" ht="24" customHeight="1" x14ac:dyDescent="0.2">
      <c r="B89" s="22">
        <v>3</v>
      </c>
      <c r="C89" s="52" t="str">
        <f>_data!Y10</f>
        <v>We benoemen waar samenwerking nodig is en zoeken die soms op.</v>
      </c>
      <c r="D89" s="52"/>
      <c r="E89" s="52"/>
      <c r="F89" s="52"/>
      <c r="G89" s="52"/>
      <c r="H89" s="52"/>
    </row>
    <row r="90" spans="2:8" ht="24" customHeight="1" x14ac:dyDescent="0.2">
      <c r="B90" s="22">
        <v>4</v>
      </c>
      <c r="C90" s="52" t="str">
        <f>_data!Z10</f>
        <v>We bepalen bewust waar een gezamenlijke aanpak meer oplevert dan individuele actie.</v>
      </c>
      <c r="D90" s="52"/>
      <c r="E90" s="52"/>
      <c r="F90" s="52"/>
      <c r="G90" s="52"/>
      <c r="H90" s="52"/>
    </row>
    <row r="91" spans="2:8" ht="19.5" customHeight="1" x14ac:dyDescent="0.2">
      <c r="C91" s="53" t="str">
        <f>_i18n!$D$35</f>
        <v>Welk antwoord ligt het dichtst bij uw instelling?</v>
      </c>
      <c r="D91" s="53"/>
      <c r="E91" s="53"/>
      <c r="F91" s="21" t="str">
        <f>_i18n!$D$53</f>
        <v>Antwoord (1–4)</v>
      </c>
      <c r="G91" s="23"/>
    </row>
    <row r="92" spans="2:8" ht="19.5" customHeight="1" x14ac:dyDescent="0.2">
      <c r="C92" s="54" t="str">
        <f>IF(G91="","→ …","→ "&amp;INDEX(_data!$W10:$Z10,G91))</f>
        <v>→ …</v>
      </c>
      <c r="D92" s="54"/>
      <c r="E92" s="54"/>
      <c r="F92" s="54"/>
      <c r="G92" s="24" t="str">
        <f>IF(G91="","—",_calc!D10)</f>
        <v>—</v>
      </c>
      <c r="H92" s="25" t="str">
        <f>_i18n!$D$36</f>
        <v>Bijdrage aan de score</v>
      </c>
    </row>
    <row r="93" spans="2:8" ht="15" customHeight="1" x14ac:dyDescent="0.2">
      <c r="B93" s="26"/>
      <c r="C93" s="26"/>
      <c r="D93" s="26"/>
      <c r="E93" s="26"/>
      <c r="F93" s="26"/>
      <c r="G93" s="26"/>
      <c r="H93" s="26"/>
    </row>
    <row r="94" spans="2:8" ht="33.75" customHeight="1" x14ac:dyDescent="0.2">
      <c r="B94" s="20" t="str">
        <f>_data!A11</f>
        <v>V10</v>
      </c>
      <c r="C94" s="50" t="str">
        <f>_data!U11</f>
        <v>Zijn onze digitale keuzes publiek uitlegbaar?</v>
      </c>
      <c r="D94" s="50"/>
      <c r="E94" s="50"/>
      <c r="F94" s="50"/>
      <c r="G94" s="50"/>
      <c r="H94" s="21" t="str">
        <f>_data!AD11</f>
        <v>Zwaar ×1,5</v>
      </c>
    </row>
    <row r="95" spans="2:8" ht="25.5" customHeight="1" x14ac:dyDescent="0.2">
      <c r="C95" s="51" t="str">
        <f>_data!V11</f>
        <v>Uitlegbaarheid vooraf is bijna altijd beter dan verdediging achteraf.</v>
      </c>
      <c r="D95" s="51"/>
      <c r="E95" s="51"/>
      <c r="F95" s="51"/>
      <c r="G95" s="51"/>
      <c r="H95" s="51"/>
    </row>
    <row r="96" spans="2:8" ht="24" customHeight="1" x14ac:dyDescent="0.2">
      <c r="B96" s="22">
        <v>1</v>
      </c>
      <c r="C96" s="52" t="str">
        <f>_data!W11</f>
        <v>We denken pas na over uitleg als er een incident of een vraag komt.</v>
      </c>
      <c r="D96" s="52"/>
      <c r="E96" s="52"/>
      <c r="F96" s="52"/>
      <c r="G96" s="52"/>
      <c r="H96" s="52"/>
    </row>
    <row r="97" spans="2:8" ht="24" customHeight="1" x14ac:dyDescent="0.2">
      <c r="B97" s="22">
        <v>2</v>
      </c>
      <c r="C97" s="52" t="str">
        <f>_data!X11</f>
        <v>We kunnen achteraf verantwoorden, maar wegen uitlegbaarheid niet vooraf mee.</v>
      </c>
      <c r="D97" s="52"/>
      <c r="E97" s="52"/>
      <c r="F97" s="52"/>
      <c r="G97" s="52"/>
      <c r="H97" s="52"/>
    </row>
    <row r="98" spans="2:8" ht="24" customHeight="1" x14ac:dyDescent="0.2">
      <c r="B98" s="22">
        <v>3</v>
      </c>
      <c r="C98" s="52" t="str">
        <f>_data!Y11</f>
        <v>Bij de meeste keuzes denken we vooraf na over publieke uitleg.</v>
      </c>
      <c r="D98" s="52"/>
      <c r="E98" s="52"/>
      <c r="F98" s="52"/>
      <c r="G98" s="52"/>
      <c r="H98" s="52"/>
    </row>
    <row r="99" spans="2:8" ht="24" customHeight="1" x14ac:dyDescent="0.2">
      <c r="B99" s="22">
        <v>4</v>
      </c>
      <c r="C99" s="52" t="str">
        <f>_data!Z11</f>
        <v>Publieke uitlegbaarheid is vooraf onderdeel van elke wezenlijke digitale keuze.</v>
      </c>
      <c r="D99" s="52"/>
      <c r="E99" s="52"/>
      <c r="F99" s="52"/>
      <c r="G99" s="52"/>
      <c r="H99" s="52"/>
    </row>
    <row r="100" spans="2:8" ht="19.5" customHeight="1" x14ac:dyDescent="0.2">
      <c r="C100" s="53" t="str">
        <f>_i18n!$D$35</f>
        <v>Welk antwoord ligt het dichtst bij uw instelling?</v>
      </c>
      <c r="D100" s="53"/>
      <c r="E100" s="53"/>
      <c r="F100" s="21" t="str">
        <f>_i18n!$D$53</f>
        <v>Antwoord (1–4)</v>
      </c>
      <c r="G100" s="23"/>
    </row>
    <row r="101" spans="2:8" ht="19.5" customHeight="1" x14ac:dyDescent="0.2">
      <c r="C101" s="54" t="str">
        <f>IF(G100="","→ …","→ "&amp;INDEX(_data!$W11:$Z11,G100))</f>
        <v>→ …</v>
      </c>
      <c r="D101" s="54"/>
      <c r="E101" s="54"/>
      <c r="F101" s="54"/>
      <c r="G101" s="24" t="str">
        <f>IF(G100="","—",_calc!D11)</f>
        <v>—</v>
      </c>
      <c r="H101" s="25" t="str">
        <f>_i18n!$D$36</f>
        <v>Bijdrage aan de score</v>
      </c>
    </row>
    <row r="102" spans="2:8" ht="15" customHeight="1" x14ac:dyDescent="0.2">
      <c r="B102" s="26"/>
      <c r="C102" s="26"/>
      <c r="D102" s="26"/>
      <c r="E102" s="26"/>
      <c r="F102" s="26"/>
      <c r="G102" s="26"/>
      <c r="H102" s="26"/>
    </row>
  </sheetData>
  <mergeCells count="89">
    <mergeCell ref="C99:H99"/>
    <mergeCell ref="C100:E100"/>
    <mergeCell ref="C101:F101"/>
    <mergeCell ref="C94:G94"/>
    <mergeCell ref="C95:H95"/>
    <mergeCell ref="C96:H96"/>
    <mergeCell ref="C97:H97"/>
    <mergeCell ref="C98:H98"/>
    <mergeCell ref="C88:H88"/>
    <mergeCell ref="C89:H89"/>
    <mergeCell ref="C90:H90"/>
    <mergeCell ref="C91:E91"/>
    <mergeCell ref="C92:F92"/>
    <mergeCell ref="C82:E82"/>
    <mergeCell ref="C83:F83"/>
    <mergeCell ref="C85:G85"/>
    <mergeCell ref="C86:H86"/>
    <mergeCell ref="C87:H87"/>
    <mergeCell ref="C77:H77"/>
    <mergeCell ref="C78:H78"/>
    <mergeCell ref="C79:H79"/>
    <mergeCell ref="C80:H80"/>
    <mergeCell ref="C81:H81"/>
    <mergeCell ref="C71:H71"/>
    <mergeCell ref="C72:H72"/>
    <mergeCell ref="C73:E73"/>
    <mergeCell ref="C74:F74"/>
    <mergeCell ref="C76:G76"/>
    <mergeCell ref="C65:F65"/>
    <mergeCell ref="C67:G67"/>
    <mergeCell ref="C68:H68"/>
    <mergeCell ref="C69:H69"/>
    <mergeCell ref="C70:H70"/>
    <mergeCell ref="C60:H60"/>
    <mergeCell ref="C61:H61"/>
    <mergeCell ref="C62:H62"/>
    <mergeCell ref="C63:H63"/>
    <mergeCell ref="C64:E64"/>
    <mergeCell ref="C54:H54"/>
    <mergeCell ref="C55:E55"/>
    <mergeCell ref="C56:F56"/>
    <mergeCell ref="C58:G58"/>
    <mergeCell ref="C59:H59"/>
    <mergeCell ref="C49:G49"/>
    <mergeCell ref="C50:H50"/>
    <mergeCell ref="C51:H51"/>
    <mergeCell ref="C52:H52"/>
    <mergeCell ref="C53:H53"/>
    <mergeCell ref="C43:H43"/>
    <mergeCell ref="C44:H44"/>
    <mergeCell ref="C45:H45"/>
    <mergeCell ref="C46:E46"/>
    <mergeCell ref="C47:F47"/>
    <mergeCell ref="C37:E37"/>
    <mergeCell ref="C38:F38"/>
    <mergeCell ref="C40:G40"/>
    <mergeCell ref="C41:H41"/>
    <mergeCell ref="C42:H42"/>
    <mergeCell ref="C32:H32"/>
    <mergeCell ref="C33:H33"/>
    <mergeCell ref="C34:H34"/>
    <mergeCell ref="C35:H35"/>
    <mergeCell ref="C36:H36"/>
    <mergeCell ref="C26:H26"/>
    <mergeCell ref="C27:H27"/>
    <mergeCell ref="C28:E28"/>
    <mergeCell ref="C29:F29"/>
    <mergeCell ref="C31:G31"/>
    <mergeCell ref="C20:F20"/>
    <mergeCell ref="C22:G22"/>
    <mergeCell ref="C23:H23"/>
    <mergeCell ref="C24:H24"/>
    <mergeCell ref="C25:H25"/>
    <mergeCell ref="C15:H15"/>
    <mergeCell ref="C16:H16"/>
    <mergeCell ref="C17:H17"/>
    <mergeCell ref="C18:H18"/>
    <mergeCell ref="C19:E19"/>
    <mergeCell ref="B9:H10"/>
    <mergeCell ref="B11:H11"/>
    <mergeCell ref="B12:H12"/>
    <mergeCell ref="C13:G13"/>
    <mergeCell ref="C14:H14"/>
    <mergeCell ref="B4:H4"/>
    <mergeCell ref="B6:C7"/>
    <mergeCell ref="D6:D7"/>
    <mergeCell ref="E6:E7"/>
    <mergeCell ref="F6:H6"/>
    <mergeCell ref="F7:H7"/>
  </mergeCells>
  <dataValidations count="1">
    <dataValidation type="list" allowBlank="1" showErrorMessage="1" errorTitle="1–4" error="1–4" sqref="G19 G28 G37 G46 G55 G64 G73 G82 G91 G100" xr:uid="{00000000-0002-0000-0100-000000000000}">
      <formula1>"1,2,3,4"</formula1>
      <formula2>0</formula2>
    </dataValidation>
  </dataValidations>
  <pageMargins left="0.4" right="0.4" top="0.5" bottom="0.5" header="0.511811023622047" footer="0.511811023622047"/>
  <pageSetup paperSize="9"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C7B5E"/>
    <pageSetUpPr fitToPage="1"/>
  </sheetPr>
  <dimension ref="A2:M65"/>
  <sheetViews>
    <sheetView showGridLines="0" zoomScaleNormal="100" workbookViewId="0"/>
  </sheetViews>
  <sheetFormatPr baseColWidth="10" defaultColWidth="8.6640625" defaultRowHeight="15" x14ac:dyDescent="0.2"/>
  <cols>
    <col min="1" max="1" width="2" customWidth="1"/>
    <col min="2" max="2" width="6" customWidth="1"/>
    <col min="3" max="3" width="34" customWidth="1"/>
    <col min="4" max="4" width="12" customWidth="1"/>
    <col min="5" max="7" width="10" customWidth="1"/>
    <col min="8" max="8" width="8" customWidth="1"/>
    <col min="13" max="13" width="2" hidden="1" customWidth="1"/>
  </cols>
  <sheetData>
    <row r="2" spans="1:8" ht="6" customHeight="1" x14ac:dyDescent="0.2">
      <c r="A2" s="15"/>
      <c r="B2" s="15"/>
      <c r="C2" s="15"/>
      <c r="D2" s="15"/>
      <c r="E2" s="15"/>
      <c r="F2" s="15"/>
      <c r="G2" s="15"/>
      <c r="H2" s="15"/>
    </row>
    <row r="3" spans="1:8" ht="15" customHeight="1" x14ac:dyDescent="0.2">
      <c r="B3" s="55" t="str">
        <f>_i18n!$D$16</f>
        <v>Bestuurlijke zelftest · Digitaal Afhankelijk</v>
      </c>
      <c r="C3" s="55"/>
      <c r="D3" s="55"/>
      <c r="E3" s="55"/>
      <c r="F3" s="55"/>
      <c r="G3" s="55"/>
      <c r="H3" s="55"/>
    </row>
    <row r="4" spans="1:8" ht="39.75" customHeight="1" x14ac:dyDescent="0.2">
      <c r="B4" s="14" t="str">
        <f>_i18n!$D$17</f>
        <v>Tien vragen voor het gesprek</v>
      </c>
      <c r="C4" s="14"/>
      <c r="D4" s="14"/>
      <c r="E4" s="14"/>
      <c r="F4" s="14"/>
      <c r="G4" s="14"/>
      <c r="H4" s="14"/>
    </row>
    <row r="5" spans="1:8" ht="15" customHeight="1" x14ac:dyDescent="0.2">
      <c r="B5" s="14"/>
      <c r="C5" s="14"/>
      <c r="D5" s="14"/>
      <c r="E5" s="14"/>
      <c r="F5" s="14"/>
      <c r="G5" s="14"/>
      <c r="H5" s="14"/>
    </row>
    <row r="6" spans="1:8" ht="30" customHeight="1" x14ac:dyDescent="0.2">
      <c r="B6" s="56" t="str">
        <f>_i18n!$D$18</f>
        <v>Wat bestuur en toezicht in de culturele sector bespreken over AI, cyberrisico en digitale afhankelijkheid</v>
      </c>
      <c r="C6" s="56"/>
      <c r="D6" s="56"/>
      <c r="E6" s="56"/>
      <c r="F6" s="56"/>
      <c r="G6" s="56"/>
      <c r="H6" s="56"/>
    </row>
    <row r="8" spans="1:8" ht="15" customHeight="1" x14ac:dyDescent="0.2">
      <c r="B8" s="27" t="str">
        <f>_i18n!$D$19</f>
        <v>Score</v>
      </c>
      <c r="E8" s="57" t="str">
        <f>_i18n!$D$20</f>
        <v>Stand van het gesprek</v>
      </c>
      <c r="F8" s="57"/>
      <c r="G8" s="57"/>
      <c r="H8" s="57"/>
    </row>
    <row r="9" spans="1:8" ht="39.75" customHeight="1" x14ac:dyDescent="0.2">
      <c r="B9" s="58" t="str">
        <f>_calc!B28</f>
        <v>00</v>
      </c>
      <c r="C9" s="58"/>
      <c r="E9" s="59" t="str">
        <f>_calc!B27</f>
        <v>Onbesproken terrein</v>
      </c>
      <c r="F9" s="59"/>
      <c r="G9" s="59"/>
      <c r="H9" s="59"/>
    </row>
    <row r="11" spans="1:8" ht="19.5" customHeight="1" x14ac:dyDescent="0.2">
      <c r="B11" s="60" t="str">
        <f>_i18n!$D$22</f>
        <v>01 · Bevindingen</v>
      </c>
      <c r="C11" s="60"/>
      <c r="D11" s="60"/>
      <c r="E11" s="60"/>
      <c r="F11" s="60"/>
      <c r="G11" s="60"/>
      <c r="H11" s="60"/>
    </row>
    <row r="12" spans="1:8" ht="57.75" customHeight="1" x14ac:dyDescent="0.2">
      <c r="B12" s="12" t="str">
        <f>_calc!B25</f>
        <v>De onderwerpen zijn bestuurlijk vrijwel onbesproken. AI, cyberrisico en leveranciersafhankelijkheid liggen verspreid over dossiers die elk afzonderlijk hanteerbaar lijken, terwijl niemand het geheel ziet. Dit is het moment om het gesprek voor het eerst te voeren.</v>
      </c>
      <c r="C12" s="12"/>
      <c r="D12" s="12"/>
      <c r="E12" s="12"/>
      <c r="F12" s="12"/>
      <c r="G12" s="12"/>
      <c r="H12" s="12"/>
    </row>
    <row r="13" spans="1:8" ht="15" customHeight="1" x14ac:dyDescent="0.2">
      <c r="B13" s="12"/>
      <c r="C13" s="12"/>
      <c r="D13" s="12"/>
      <c r="E13" s="12"/>
      <c r="F13" s="12"/>
      <c r="G13" s="12"/>
      <c r="H13" s="12"/>
    </row>
    <row r="14" spans="1:8" ht="15" customHeight="1" x14ac:dyDescent="0.2">
      <c r="B14" s="12"/>
      <c r="C14" s="12"/>
      <c r="D14" s="12"/>
      <c r="E14" s="12"/>
      <c r="F14" s="12"/>
      <c r="G14" s="12"/>
      <c r="H14" s="12"/>
    </row>
    <row r="16" spans="1:8" ht="19.5" customHeight="1" x14ac:dyDescent="0.2">
      <c r="B16" s="60" t="str">
        <f>_i18n!$D$23</f>
        <v>02 · Score per vraag</v>
      </c>
      <c r="C16" s="60"/>
      <c r="D16" s="60"/>
      <c r="E16" s="60"/>
      <c r="F16" s="60"/>
      <c r="G16" s="60"/>
      <c r="H16" s="60"/>
    </row>
    <row r="17" spans="2:13" ht="15.75" customHeight="1" x14ac:dyDescent="0.2">
      <c r="B17" s="28" t="str">
        <f>_data!A2</f>
        <v>V1</v>
      </c>
      <c r="C17" s="29" t="str">
        <f>_data!AC2</f>
        <v>Samenhang van AI, cyber en leveranciers</v>
      </c>
      <c r="D17" s="61" t="str">
        <f>IF(_calc!C2="","",REPT("█",ROUND(_calc!D2/10*22,0)))</f>
        <v/>
      </c>
      <c r="E17" s="61"/>
      <c r="F17" s="61"/>
      <c r="G17" s="61"/>
      <c r="H17" s="30">
        <f>IF(_calc!C2="","—",_calc!D2)</f>
        <v>0</v>
      </c>
      <c r="M17">
        <f>_calc!D2</f>
        <v>0</v>
      </c>
    </row>
    <row r="18" spans="2:13" ht="15.75" customHeight="1" x14ac:dyDescent="0.2">
      <c r="B18" s="28" t="str">
        <f>_data!A3</f>
        <v>V2</v>
      </c>
      <c r="C18" s="29" t="str">
        <f>_data!AC3</f>
        <v>Missiekritische afhankelijkheden</v>
      </c>
      <c r="D18" s="61" t="str">
        <f>IF(_calc!C3="","",REPT("█",ROUND(_calc!D3/10*22,0)))</f>
        <v/>
      </c>
      <c r="E18" s="61"/>
      <c r="F18" s="61"/>
      <c r="G18" s="61"/>
      <c r="H18" s="30">
        <f>IF(_calc!C3="","—",_calc!D3)</f>
        <v>0</v>
      </c>
      <c r="M18">
        <f>_calc!D3</f>
        <v>0</v>
      </c>
    </row>
    <row r="19" spans="2:13" ht="15.75" customHeight="1" x14ac:dyDescent="0.2">
      <c r="B19" s="28" t="str">
        <f>_data!A4</f>
        <v>V3</v>
      </c>
      <c r="C19" s="29" t="str">
        <f>_data!AC4</f>
        <v>Informatiepositie van de raad</v>
      </c>
      <c r="D19" s="61" t="str">
        <f>IF(_calc!C4="","",REPT("█",ROUND(_calc!D4/10*22,0)))</f>
        <v/>
      </c>
      <c r="E19" s="61"/>
      <c r="F19" s="61"/>
      <c r="G19" s="61"/>
      <c r="H19" s="30">
        <f>IF(_calc!C4="","—",_calc!D4)</f>
        <v>0</v>
      </c>
      <c r="M19">
        <f>_calc!D4</f>
        <v>0</v>
      </c>
    </row>
    <row r="20" spans="2:13" ht="15.75" customHeight="1" x14ac:dyDescent="0.2">
      <c r="B20" s="28" t="str">
        <f>_data!A5</f>
        <v>V4</v>
      </c>
      <c r="C20" s="29" t="str">
        <f>_data!AC5</f>
        <v>Waar menselijke controle verplicht blijft</v>
      </c>
      <c r="D20" s="61" t="str">
        <f>IF(_calc!C5="","",REPT("█",ROUND(_calc!D5/10*22,0)))</f>
        <v/>
      </c>
      <c r="E20" s="61"/>
      <c r="F20" s="61"/>
      <c r="G20" s="61"/>
      <c r="H20" s="30">
        <f>IF(_calc!C5="","—",_calc!D5)</f>
        <v>0</v>
      </c>
      <c r="M20">
        <f>_calc!D5</f>
        <v>0</v>
      </c>
    </row>
    <row r="21" spans="2:13" ht="15.75" customHeight="1" x14ac:dyDescent="0.2">
      <c r="B21" s="28" t="str">
        <f>_data!A6</f>
        <v>V5</v>
      </c>
      <c r="C21" s="29" t="str">
        <f>_data!AC6</f>
        <v>Bewust geaccepteerd restrisico</v>
      </c>
      <c r="D21" s="61" t="str">
        <f>IF(_calc!C6="","",REPT("█",ROUND(_calc!D6/10*22,0)))</f>
        <v/>
      </c>
      <c r="E21" s="61"/>
      <c r="F21" s="61"/>
      <c r="G21" s="61"/>
      <c r="H21" s="30">
        <f>IF(_calc!C6="","—",_calc!D6)</f>
        <v>0</v>
      </c>
      <c r="M21">
        <f>_calc!D6</f>
        <v>0</v>
      </c>
    </row>
    <row r="22" spans="2:13" ht="15.75" customHeight="1" x14ac:dyDescent="0.2">
      <c r="B22" s="28" t="str">
        <f>_data!A7</f>
        <v>V6</v>
      </c>
      <c r="C22" s="29" t="str">
        <f>_data!AC7</f>
        <v>Medewerkers kennen de verwachting</v>
      </c>
      <c r="D22" s="61" t="str">
        <f>IF(_calc!C7="","",REPT("█",ROUND(_calc!D7/10*22,0)))</f>
        <v/>
      </c>
      <c r="E22" s="61"/>
      <c r="F22" s="61"/>
      <c r="G22" s="61"/>
      <c r="H22" s="30">
        <f>IF(_calc!C7="","—",_calc!D7)</f>
        <v>0</v>
      </c>
      <c r="M22">
        <f>_calc!D7</f>
        <v>0</v>
      </c>
    </row>
    <row r="23" spans="2:13" ht="15.75" customHeight="1" x14ac:dyDescent="0.2">
      <c r="B23" s="28" t="str">
        <f>_data!A8</f>
        <v>V7</v>
      </c>
      <c r="C23" s="29" t="str">
        <f>_data!AC8</f>
        <v>Makers, bronnen en publiek</v>
      </c>
      <c r="D23" s="61" t="str">
        <f>IF(_calc!C8="","",REPT("█",ROUND(_calc!D8/10*22,0)))</f>
        <v/>
      </c>
      <c r="E23" s="61"/>
      <c r="F23" s="61"/>
      <c r="G23" s="61"/>
      <c r="H23" s="30">
        <f>IF(_calc!C8="","—",_calc!D8)</f>
        <v>0</v>
      </c>
      <c r="M23">
        <f>_calc!D8</f>
        <v>0</v>
      </c>
    </row>
    <row r="24" spans="2:13" ht="15.75" customHeight="1" x14ac:dyDescent="0.2">
      <c r="B24" s="28" t="str">
        <f>_data!A9</f>
        <v>V8</v>
      </c>
      <c r="C24" s="29" t="str">
        <f>_data!AC9</f>
        <v>Georganiseerde tegenspraak</v>
      </c>
      <c r="D24" s="61" t="str">
        <f>IF(_calc!C9="","",REPT("█",ROUND(_calc!D9/10*22,0)))</f>
        <v/>
      </c>
      <c r="E24" s="61"/>
      <c r="F24" s="61"/>
      <c r="G24" s="61"/>
      <c r="H24" s="30">
        <f>IF(_calc!C9="","—",_calc!D9)</f>
        <v>0</v>
      </c>
      <c r="M24">
        <f>_calc!D9</f>
        <v>0</v>
      </c>
    </row>
    <row r="25" spans="2:13" ht="15.75" customHeight="1" x14ac:dyDescent="0.2">
      <c r="B25" s="28" t="str">
        <f>_data!A10</f>
        <v>V9</v>
      </c>
      <c r="C25" s="29" t="str">
        <f>_data!AC10</f>
        <v>Sectorale samenwerking</v>
      </c>
      <c r="D25" s="61" t="str">
        <f>IF(_calc!C10="","",REPT("█",ROUND(_calc!D10/10*22,0)))</f>
        <v/>
      </c>
      <c r="E25" s="61"/>
      <c r="F25" s="61"/>
      <c r="G25" s="61"/>
      <c r="H25" s="30">
        <f>IF(_calc!C10="","—",_calc!D10)</f>
        <v>0</v>
      </c>
      <c r="M25">
        <f>_calc!D10</f>
        <v>0</v>
      </c>
    </row>
    <row r="26" spans="2:13" ht="15.75" customHeight="1" x14ac:dyDescent="0.2">
      <c r="B26" s="28" t="str">
        <f>_data!A11</f>
        <v>V10</v>
      </c>
      <c r="C26" s="29" t="str">
        <f>_data!AC11</f>
        <v>Publieke uitlegbaarheid</v>
      </c>
      <c r="D26" s="61" t="str">
        <f>IF(_calc!C11="","",REPT("█",ROUND(_calc!D11/10*22,0)))</f>
        <v/>
      </c>
      <c r="E26" s="61"/>
      <c r="F26" s="61"/>
      <c r="G26" s="61"/>
      <c r="H26" s="30">
        <f>IF(_calc!C11="","—",_calc!D11)</f>
        <v>0</v>
      </c>
      <c r="M26">
        <f>_calc!D11</f>
        <v>0</v>
      </c>
    </row>
    <row r="28" spans="2:13" ht="19.5" customHeight="1" x14ac:dyDescent="0.2">
      <c r="B28" s="60" t="str">
        <f>_i18n!$D$24</f>
        <v>03 · Aanbeveling</v>
      </c>
      <c r="C28" s="60"/>
      <c r="D28" s="60"/>
      <c r="E28" s="60"/>
      <c r="F28" s="60"/>
      <c r="G28" s="60"/>
      <c r="H28" s="60"/>
    </row>
    <row r="29" spans="2:13" ht="57.75" customHeight="1" x14ac:dyDescent="0.2">
      <c r="B29" s="12" t="str">
        <f>IF(_calc!B14=0,_i18n!$D$41,_calc!B23)</f>
        <v>De eerste stap is het gesprek zelf. Breng AI, cyber en leveranciersafhankelijkheid voor het eerst samen op de bestuurstafel, benoem wat kritiek is en wie eigenaar is, en maak zichtbaar wat nog onbekend is. Onzekerheid is bestuurbaar zodra zij expliciet wordt.</v>
      </c>
      <c r="C29" s="12"/>
      <c r="D29" s="12"/>
      <c r="E29" s="12"/>
      <c r="F29" s="12"/>
      <c r="G29" s="12"/>
      <c r="H29" s="12"/>
    </row>
    <row r="30" spans="2:13" ht="15" customHeight="1" x14ac:dyDescent="0.2">
      <c r="B30" s="12"/>
      <c r="C30" s="12"/>
      <c r="D30" s="12"/>
      <c r="E30" s="12"/>
      <c r="F30" s="12"/>
      <c r="G30" s="12"/>
      <c r="H30" s="12"/>
    </row>
    <row r="31" spans="2:13" ht="15" customHeight="1" x14ac:dyDescent="0.2">
      <c r="B31" s="12"/>
      <c r="C31" s="12"/>
      <c r="D31" s="12"/>
      <c r="E31" s="12"/>
      <c r="F31" s="12"/>
      <c r="G31" s="12"/>
      <c r="H31" s="12"/>
    </row>
    <row r="33" spans="2:8" ht="19.5" customHeight="1" x14ac:dyDescent="0.2">
      <c r="B33" s="60" t="str">
        <f>_i18n!$D$25</f>
        <v>04 · Waar het gesprek het meest oplevert</v>
      </c>
      <c r="C33" s="60"/>
      <c r="D33" s="60"/>
      <c r="E33" s="60"/>
      <c r="F33" s="60"/>
      <c r="G33" s="60"/>
      <c r="H33" s="60"/>
    </row>
    <row r="34" spans="2:8" ht="43.5" customHeight="1" x14ac:dyDescent="0.2">
      <c r="B34" s="62" t="str">
        <f>IF(_calc!B17=0,IF(1=1,_i18n!$D$42,""),_calc!D31)</f>
        <v>Samenhang</v>
      </c>
      <c r="C34" s="62"/>
      <c r="D34" s="63" t="str">
        <f>IF(_calc!B17=0,IF(1=1,_i18n!$D$43,""),_calc!E31)</f>
        <v>Zolang AI bij innovatie ligt, cyber bij IT en software bij inkoop, ziet niemand het geheel. Breng de drie als één bestuurlijke opgave op tafel en benoem waar ze elkaar raken.</v>
      </c>
      <c r="E34" s="63"/>
      <c r="F34" s="63"/>
      <c r="G34" s="63"/>
      <c r="H34" s="63"/>
    </row>
    <row r="35" spans="2:8" ht="43.5" customHeight="1" x14ac:dyDescent="0.2">
      <c r="B35" s="62" t="str">
        <f>IF(_calc!B17=0,IF(2=1,_i18n!$D$42,""),_calc!D32)</f>
        <v>Missiekritische afhankelijkheden</v>
      </c>
      <c r="C35" s="62"/>
      <c r="D35" s="63" t="str">
        <f>IF(_calc!B17=0,IF(2=1,_i18n!$D$43,""),_calc!E32)</f>
        <v>Algemene digitale volwassenheid zegt weinig. Benoem welke afhankelijkheden de missie rechtstreeks raken en koppel daar eigenaarschap en een herstelpad aan.</v>
      </c>
      <c r="E35" s="63"/>
      <c r="F35" s="63"/>
      <c r="G35" s="63"/>
      <c r="H35" s="63"/>
    </row>
    <row r="36" spans="2:8" ht="43.5" customHeight="1" x14ac:dyDescent="0.2">
      <c r="B36" s="62" t="str">
        <f>IF(_calc!B17=0,IF(3=1,_i18n!$D$42,""),_calc!D33)</f>
        <v>Bewust geaccepteerd restrisico</v>
      </c>
      <c r="C36" s="62"/>
      <c r="D36" s="63" t="str">
        <f>IF(_calc!B17=0,IF(3=1,_i18n!$D$43,""),_calc!E33)</f>
        <v>Een risico dat niet bekend is, is geen geaccepteerd risico maar een blinde vlek. Maak per kritiek terrein zichtbaar welk restrisico blijft en waarom dat aanvaardbaar is.</v>
      </c>
      <c r="E36" s="63"/>
      <c r="F36" s="63"/>
      <c r="G36" s="63"/>
      <c r="H36" s="63"/>
    </row>
    <row r="37" spans="2:8" ht="43.5" customHeight="1" x14ac:dyDescent="0.2">
      <c r="B37" s="62" t="str">
        <f>IF(_calc!B17=0,IF(4=1,_i18n!$D$42,""),_calc!D34)</f>
        <v>Publieke uitlegbaarheid</v>
      </c>
      <c r="C37" s="62"/>
      <c r="D37" s="63" t="str">
        <f>IF(_calc!B17=0,IF(4=1,_i18n!$D$43,""),_calc!E34)</f>
        <v>Uitlegbaarheid vooraf is bijna altijd beter dan verdediging achteraf. Maak publieke uitlegbaarheid onderdeel van elke wezenlijke digitale keuze.</v>
      </c>
      <c r="E37" s="63"/>
      <c r="F37" s="63"/>
      <c r="G37" s="63"/>
      <c r="H37" s="63"/>
    </row>
    <row r="38" spans="2:8" ht="43.5" customHeight="1" x14ac:dyDescent="0.2">
      <c r="B38" s="62" t="str">
        <f>IF(_calc!B17=0,IF(5=1,_i18n!$D$42,""),_calc!D35)</f>
        <v>Informatiepositie van de raad</v>
      </c>
      <c r="C38" s="62"/>
      <c r="D38" s="63" t="str">
        <f>IF(_calc!B17=0,IF(5=1,_i18n!$D$43,""),_calc!E35)</f>
        <v>Een raad die wacht tot de directie agendeert, mist precies de informatie die hij nodig heeft. Stel de informatiebehoefte zelf op — onzekerheid is bestuurbaar zodra zij expliciet is.</v>
      </c>
      <c r="E38" s="63"/>
      <c r="F38" s="63"/>
      <c r="G38" s="63"/>
      <c r="H38" s="63"/>
    </row>
    <row r="39" spans="2:8" ht="43.5" customHeight="1" x14ac:dyDescent="0.2">
      <c r="B39" s="62" t="str">
        <f>IF(_calc!B17=0,IF(6=1,_i18n!$D$42,""),_calc!D36)</f>
        <v>Menselijke controle</v>
      </c>
      <c r="C39" s="62"/>
      <c r="D39" s="63" t="str">
        <f>IF(_calc!B17=0,IF(6=1,_i18n!$D$43,""),_calc!E36)</f>
        <v>Menselijke controle is geen formaliteit maar de plek waar verantwoordelijkheid landt. Wijs expliciet aan waar bij AI, cyber en contractkeuzes een mens het laatste woord houdt.</v>
      </c>
      <c r="E39" s="63"/>
      <c r="F39" s="63"/>
      <c r="G39" s="63"/>
      <c r="H39" s="63"/>
    </row>
    <row r="41" spans="2:8" ht="19.5" customHeight="1" x14ac:dyDescent="0.2">
      <c r="B41" s="60" t="str">
        <f>_i18n!$D$26</f>
        <v>05 · Proportionaliteit per instelling</v>
      </c>
      <c r="C41" s="60"/>
      <c r="D41" s="60"/>
      <c r="E41" s="60"/>
      <c r="F41" s="60"/>
      <c r="G41" s="60"/>
      <c r="H41" s="60"/>
    </row>
    <row r="42" spans="2:8" ht="27.75" customHeight="1" x14ac:dyDescent="0.2">
      <c r="B42" s="64" t="str">
        <f>_i18n!$D$28</f>
        <v>Dezelfde vragen pakken anders uit naar schaal en taak. Onderstaande profielen geven de eerste bestuurlijke stap die bij elk type instelling past — geen herweging van de score, maar duiding bij het gesprek.</v>
      </c>
      <c r="C42" s="64"/>
      <c r="D42" s="64"/>
      <c r="E42" s="64"/>
      <c r="F42" s="64"/>
      <c r="G42" s="64"/>
      <c r="H42" s="64"/>
    </row>
    <row r="43" spans="2:8" ht="39.75" customHeight="1" x14ac:dyDescent="0.2">
      <c r="B43" s="65" t="str">
        <f>_data!G21</f>
        <v>Klein &amp; lokaal</v>
      </c>
      <c r="C43" s="65"/>
      <c r="D43" s="66" t="str">
        <f>_data!H21&amp;"  —  "&amp;_data!I21</f>
        <v>Persoonsafhankelijkheid, informele accounts, groot vertrouwen in externe partijen.  —  Basisorde: eigenaarschap, leveranciersoverzicht, herstelafspraken en heldere escalatie.</v>
      </c>
      <c r="E43" s="66"/>
      <c r="F43" s="66"/>
      <c r="G43" s="66"/>
      <c r="H43" s="66"/>
    </row>
    <row r="44" spans="2:8" ht="39.75" customHeight="1" x14ac:dyDescent="0.2">
      <c r="B44" s="65" t="str">
        <f>_data!G22</f>
        <v>Middelgroot &amp; groeiend</v>
      </c>
      <c r="C44" s="65"/>
      <c r="D44" s="66" t="str">
        <f>_data!H22&amp;"  —  "&amp;_data!I22</f>
        <v>Veel losse tools, versnipperd eigenaarschap, pragmatische verlengingen.  —  Prioritering: centrale keuzes, registers, kwartaalritme en expliciete besluiten over wat kritiek is.</v>
      </c>
      <c r="E44" s="66"/>
      <c r="F44" s="66"/>
      <c r="G44" s="66"/>
      <c r="H44" s="66"/>
    </row>
    <row r="45" spans="2:8" ht="39.75" customHeight="1" x14ac:dyDescent="0.2">
      <c r="B45" s="65" t="str">
        <f>_data!G23</f>
        <v>Groot &amp; complex</v>
      </c>
      <c r="C45" s="65"/>
      <c r="D45" s="66" t="str">
        <f>_data!H23&amp;"  —  "&amp;_data!I23</f>
        <v>Schijnzekerheid door veel systemen, silo’s en specialisten.  —  Bestuurlijke vertaalslag: bewijs op herstelvermogen, ketenrisico, vendor-critical overzicht en restrisico.</v>
      </c>
      <c r="E45" s="66"/>
      <c r="F45" s="66"/>
      <c r="G45" s="66"/>
      <c r="H45" s="66"/>
    </row>
    <row r="46" spans="2:8" ht="39.75" customHeight="1" x14ac:dyDescent="0.2">
      <c r="B46" s="65" t="str">
        <f>_data!G24</f>
        <v>Archief, erfgoed &amp; journalistiek</v>
      </c>
      <c r="C46" s="65"/>
      <c r="D46" s="66" t="str">
        <f>_data!H24&amp;"  —  "&amp;_data!I24</f>
        <v>Bijzondere waarde van authenticiteit, provenance en publieke betrouwbaarheid.  —  Verbind techniek en normatieve kern: herleidbaarheid, brongebruik, data-integriteit en publieke uitleg.</v>
      </c>
      <c r="E46" s="66"/>
      <c r="F46" s="66"/>
      <c r="G46" s="66"/>
      <c r="H46" s="66"/>
    </row>
    <row r="48" spans="2:8" ht="19.5" customHeight="1" x14ac:dyDescent="0.2">
      <c r="B48" s="60" t="str">
        <f>_i18n!$D$27</f>
        <v>06 · De tien antwoorden</v>
      </c>
      <c r="C48" s="60"/>
      <c r="D48" s="60"/>
      <c r="E48" s="60"/>
      <c r="F48" s="60"/>
      <c r="G48" s="60"/>
      <c r="H48" s="60"/>
    </row>
    <row r="49" spans="2:8" ht="15" customHeight="1" x14ac:dyDescent="0.2">
      <c r="B49" s="67" t="str">
        <f>_i18n!$D$57</f>
        <v>Vraag</v>
      </c>
      <c r="C49" s="67"/>
      <c r="D49" s="67" t="str">
        <f>_i18n!$D$30</f>
        <v>Antwoord</v>
      </c>
      <c r="E49" s="67"/>
      <c r="F49" s="67"/>
      <c r="G49" s="31" t="str">
        <f>_i18n!$D$31</f>
        <v>Score</v>
      </c>
      <c r="H49" s="31" t="str">
        <f>_i18n!$D$32</f>
        <v>Gewicht</v>
      </c>
    </row>
    <row r="50" spans="2:8" ht="24" customHeight="1" x14ac:dyDescent="0.2">
      <c r="B50" s="68" t="str">
        <f>_data!A2&amp;"  "&amp;_data!AC2</f>
        <v>V1  Samenhang van AI, cyber en leveranciers</v>
      </c>
      <c r="C50" s="68"/>
      <c r="D50" s="69" t="e">
        <f>IF(_calc!C2="",_i18n!$D$40,INDEX(_data!$W2:$Z2,_calc!C2))</f>
        <v>#VALUE!</v>
      </c>
      <c r="E50" s="69"/>
      <c r="F50" s="69"/>
      <c r="G50" s="32">
        <f>IF(_calc!C2="","—",_calc!D2)</f>
        <v>0</v>
      </c>
      <c r="H50" s="33" t="str">
        <f>IF(LANG="nl",IF(_data!B2&gt;1,"×1,5","×1,0"),IF(_data!B2&gt;1,"×1.5","×1.0"))</f>
        <v>×1,5</v>
      </c>
    </row>
    <row r="51" spans="2:8" ht="24" customHeight="1" x14ac:dyDescent="0.2">
      <c r="B51" s="68" t="str">
        <f>_data!A3&amp;"  "&amp;_data!AC3</f>
        <v>V2  Missiekritische afhankelijkheden</v>
      </c>
      <c r="C51" s="68"/>
      <c r="D51" s="69" t="e">
        <f>IF(_calc!C3="",_i18n!$D$40,INDEX(_data!$W3:$Z3,_calc!C3))</f>
        <v>#VALUE!</v>
      </c>
      <c r="E51" s="69"/>
      <c r="F51" s="69"/>
      <c r="G51" s="32">
        <f>IF(_calc!C3="","—",_calc!D3)</f>
        <v>0</v>
      </c>
      <c r="H51" s="33" t="str">
        <f>IF(LANG="nl",IF(_data!B3&gt;1,"×1,5","×1,0"),IF(_data!B3&gt;1,"×1.5","×1.0"))</f>
        <v>×1,5</v>
      </c>
    </row>
    <row r="52" spans="2:8" ht="24" customHeight="1" x14ac:dyDescent="0.2">
      <c r="B52" s="68" t="str">
        <f>_data!A4&amp;"  "&amp;_data!AC4</f>
        <v>V3  Informatiepositie van de raad</v>
      </c>
      <c r="C52" s="68"/>
      <c r="D52" s="69" t="e">
        <f>IF(_calc!C4="",_i18n!$D$40,INDEX(_data!$W4:$Z4,_calc!C4))</f>
        <v>#VALUE!</v>
      </c>
      <c r="E52" s="69"/>
      <c r="F52" s="69"/>
      <c r="G52" s="32">
        <f>IF(_calc!C4="","—",_calc!D4)</f>
        <v>0</v>
      </c>
      <c r="H52" s="33" t="str">
        <f>IF(LANG="nl",IF(_data!B4&gt;1,"×1,5","×1,0"),IF(_data!B4&gt;1,"×1.5","×1.0"))</f>
        <v>×1,0</v>
      </c>
    </row>
    <row r="53" spans="2:8" ht="24" customHeight="1" x14ac:dyDescent="0.2">
      <c r="B53" s="68" t="str">
        <f>_data!A5&amp;"  "&amp;_data!AC5</f>
        <v>V4  Waar menselijke controle verplicht blijft</v>
      </c>
      <c r="C53" s="68"/>
      <c r="D53" s="69" t="e">
        <f>IF(_calc!C5="",_i18n!$D$40,INDEX(_data!$W5:$Z5,_calc!C5))</f>
        <v>#VALUE!</v>
      </c>
      <c r="E53" s="69"/>
      <c r="F53" s="69"/>
      <c r="G53" s="32">
        <f>IF(_calc!C5="","—",_calc!D5)</f>
        <v>0</v>
      </c>
      <c r="H53" s="33" t="str">
        <f>IF(LANG="nl",IF(_data!B5&gt;1,"×1,5","×1,0"),IF(_data!B5&gt;1,"×1.5","×1.0"))</f>
        <v>×1,0</v>
      </c>
    </row>
    <row r="54" spans="2:8" ht="24" customHeight="1" x14ac:dyDescent="0.2">
      <c r="B54" s="68" t="str">
        <f>_data!A6&amp;"  "&amp;_data!AC6</f>
        <v>V5  Bewust geaccepteerd restrisico</v>
      </c>
      <c r="C54" s="68"/>
      <c r="D54" s="69" t="e">
        <f>IF(_calc!C6="",_i18n!$D$40,INDEX(_data!$W6:$Z6,_calc!C6))</f>
        <v>#VALUE!</v>
      </c>
      <c r="E54" s="69"/>
      <c r="F54" s="69"/>
      <c r="G54" s="32">
        <f>IF(_calc!C6="","—",_calc!D6)</f>
        <v>0</v>
      </c>
      <c r="H54" s="33" t="str">
        <f>IF(LANG="nl",IF(_data!B6&gt;1,"×1,5","×1,0"),IF(_data!B6&gt;1,"×1.5","×1.0"))</f>
        <v>×1,5</v>
      </c>
    </row>
    <row r="55" spans="2:8" ht="24" customHeight="1" x14ac:dyDescent="0.2">
      <c r="B55" s="68" t="str">
        <f>_data!A7&amp;"  "&amp;_data!AC7</f>
        <v>V6  Medewerkers kennen de verwachting</v>
      </c>
      <c r="C55" s="68"/>
      <c r="D55" s="69" t="e">
        <f>IF(_calc!C7="",_i18n!$D$40,INDEX(_data!$W7:$Z7,_calc!C7))</f>
        <v>#VALUE!</v>
      </c>
      <c r="E55" s="69"/>
      <c r="F55" s="69"/>
      <c r="G55" s="32">
        <f>IF(_calc!C7="","—",_calc!D7)</f>
        <v>0</v>
      </c>
      <c r="H55" s="33" t="str">
        <f>IF(LANG="nl",IF(_data!B7&gt;1,"×1,5","×1,0"),IF(_data!B7&gt;1,"×1.5","×1.0"))</f>
        <v>×1,0</v>
      </c>
    </row>
    <row r="56" spans="2:8" ht="24" customHeight="1" x14ac:dyDescent="0.2">
      <c r="B56" s="68" t="str">
        <f>_data!A8&amp;"  "&amp;_data!AC8</f>
        <v>V7  Makers, bronnen en publiek</v>
      </c>
      <c r="C56" s="68"/>
      <c r="D56" s="69" t="e">
        <f>IF(_calc!C8="",_i18n!$D$40,INDEX(_data!$W8:$Z8,_calc!C8))</f>
        <v>#VALUE!</v>
      </c>
      <c r="E56" s="69"/>
      <c r="F56" s="69"/>
      <c r="G56" s="32">
        <f>IF(_calc!C8="","—",_calc!D8)</f>
        <v>0</v>
      </c>
      <c r="H56" s="33" t="str">
        <f>IF(LANG="nl",IF(_data!B8&gt;1,"×1,5","×1,0"),IF(_data!B8&gt;1,"×1.5","×1.0"))</f>
        <v>×1,0</v>
      </c>
    </row>
    <row r="57" spans="2:8" ht="24" customHeight="1" x14ac:dyDescent="0.2">
      <c r="B57" s="68" t="str">
        <f>_data!A9&amp;"  "&amp;_data!AC9</f>
        <v>V8  Georganiseerde tegenspraak</v>
      </c>
      <c r="C57" s="68"/>
      <c r="D57" s="69" t="e">
        <f>IF(_calc!C9="",_i18n!$D$40,INDEX(_data!$W9:$Z9,_calc!C9))</f>
        <v>#VALUE!</v>
      </c>
      <c r="E57" s="69"/>
      <c r="F57" s="69"/>
      <c r="G57" s="32">
        <f>IF(_calc!C9="","—",_calc!D9)</f>
        <v>0</v>
      </c>
      <c r="H57" s="33" t="str">
        <f>IF(LANG="nl",IF(_data!B9&gt;1,"×1,5","×1,0"),IF(_data!B9&gt;1,"×1.5","×1.0"))</f>
        <v>×1,0</v>
      </c>
    </row>
    <row r="58" spans="2:8" ht="24" customHeight="1" x14ac:dyDescent="0.2">
      <c r="B58" s="68" t="str">
        <f>_data!A10&amp;"  "&amp;_data!AC10</f>
        <v>V9  Sectorale samenwerking</v>
      </c>
      <c r="C58" s="68"/>
      <c r="D58" s="69" t="e">
        <f>IF(_calc!C10="",_i18n!$D$40,INDEX(_data!$W10:$Z10,_calc!C10))</f>
        <v>#VALUE!</v>
      </c>
      <c r="E58" s="69"/>
      <c r="F58" s="69"/>
      <c r="G58" s="32">
        <f>IF(_calc!C10="","—",_calc!D10)</f>
        <v>0</v>
      </c>
      <c r="H58" s="33" t="str">
        <f>IF(LANG="nl",IF(_data!B10&gt;1,"×1,5","×1,0"),IF(_data!B10&gt;1,"×1.5","×1.0"))</f>
        <v>×1,0</v>
      </c>
    </row>
    <row r="59" spans="2:8" ht="24" customHeight="1" x14ac:dyDescent="0.2">
      <c r="B59" s="68" t="str">
        <f>_data!A11&amp;"  "&amp;_data!AC11</f>
        <v>V10  Publieke uitlegbaarheid</v>
      </c>
      <c r="C59" s="68"/>
      <c r="D59" s="69" t="e">
        <f>IF(_calc!C11="",_i18n!$D$40,INDEX(_data!$W11:$Z11,_calc!C11))</f>
        <v>#VALUE!</v>
      </c>
      <c r="E59" s="69"/>
      <c r="F59" s="69"/>
      <c r="G59" s="32">
        <f>IF(_calc!C11="","—",_calc!D11)</f>
        <v>0</v>
      </c>
      <c r="H59" s="33" t="str">
        <f>IF(LANG="nl",IF(_data!B11&gt;1,"×1,5","×1,0"),IF(_data!B11&gt;1,"×1.5","×1.0"))</f>
        <v>×1,5</v>
      </c>
    </row>
    <row r="61" spans="2:8" ht="15" customHeight="1" x14ac:dyDescent="0.2">
      <c r="B61" s="70" t="str">
        <f>_i18n!$D$33</f>
        <v>De volgende stap aan de bestuurstafel</v>
      </c>
      <c r="C61" s="70"/>
      <c r="D61" s="70"/>
      <c r="E61" s="70"/>
      <c r="F61" s="70"/>
      <c r="G61" s="70"/>
      <c r="H61" s="70"/>
    </row>
    <row r="62" spans="2:8" ht="30" customHeight="1" x14ac:dyDescent="0.2">
      <c r="B62" s="71" t="str">
        <f>IF(_calc!B14=0,_i18n!$D$41,_calc!B24)</f>
        <v>Agendeer dit als zelfstandig bestuursdossier; de tien vragen vormen de structuur voor het eerste gesprek.</v>
      </c>
      <c r="C62" s="71"/>
      <c r="D62" s="71"/>
      <c r="E62" s="71"/>
      <c r="F62" s="71"/>
      <c r="G62" s="71"/>
      <c r="H62" s="71"/>
    </row>
    <row r="63" spans="2:8" ht="25.5" customHeight="1" x14ac:dyDescent="0.2">
      <c r="B63" s="72" t="str">
        <f>_i18n!$D$34</f>
        <v>Deze zelftest volgt de tien vragen uit Digitaal Afhankelijk (Guido van Nispen, governance.art). Het boek werkt elke vraag uit met casussen, niveaus en institutionele profielen.</v>
      </c>
      <c r="C63" s="72"/>
      <c r="D63" s="72"/>
      <c r="E63" s="72"/>
      <c r="F63" s="72"/>
      <c r="G63" s="72"/>
      <c r="H63" s="72"/>
    </row>
    <row r="64" spans="2:8" ht="39.75" customHeight="1" x14ac:dyDescent="0.2">
      <c r="B64" s="73" t="str">
        <f>_i18n!$D$15</f>
        <v>Deze zelftest geeft een indicatie van het bestuurlijke gesprek; het is geen audit, geen oordeel en geen norm. De uitkomst vervangt geen professioneel, juridisch of technisch advies, en aan de score kunnen geen rechten worden ontleend. Het invullen en het gebruik van de uitkomst zijn voor eigen verantwoordelijkheid van de instelling.</v>
      </c>
      <c r="C64" s="73"/>
      <c r="D64" s="73"/>
      <c r="E64" s="73"/>
      <c r="F64" s="73"/>
      <c r="G64" s="73"/>
      <c r="H64" s="73"/>
    </row>
    <row r="65" spans="2:8" ht="15" customHeight="1" x14ac:dyDescent="0.2">
      <c r="B65" s="74" t="str">
        <f>_i18n!$D$21</f>
        <v>Een zelftest bij Digitaal Afhankelijk — Guido van Nispen · governance.art</v>
      </c>
      <c r="C65" s="74"/>
      <c r="D65" s="74"/>
      <c r="E65" s="74"/>
      <c r="F65" s="74"/>
      <c r="G65" s="74"/>
      <c r="H65" s="74"/>
    </row>
  </sheetData>
  <mergeCells count="72">
    <mergeCell ref="B61:H61"/>
    <mergeCell ref="B62:H62"/>
    <mergeCell ref="B63:H63"/>
    <mergeCell ref="B64:H64"/>
    <mergeCell ref="B65:H65"/>
    <mergeCell ref="B57:C57"/>
    <mergeCell ref="D57:F57"/>
    <mergeCell ref="B58:C58"/>
    <mergeCell ref="D58:F58"/>
    <mergeCell ref="B59:C59"/>
    <mergeCell ref="D59:F59"/>
    <mergeCell ref="B54:C54"/>
    <mergeCell ref="D54:F54"/>
    <mergeCell ref="B55:C55"/>
    <mergeCell ref="D55:F55"/>
    <mergeCell ref="B56:C56"/>
    <mergeCell ref="D56:F56"/>
    <mergeCell ref="B51:C51"/>
    <mergeCell ref="D51:F51"/>
    <mergeCell ref="B52:C52"/>
    <mergeCell ref="D52:F52"/>
    <mergeCell ref="B53:C53"/>
    <mergeCell ref="D53:F53"/>
    <mergeCell ref="B48:H48"/>
    <mergeCell ref="B49:C49"/>
    <mergeCell ref="D49:F49"/>
    <mergeCell ref="B50:C50"/>
    <mergeCell ref="D50:F50"/>
    <mergeCell ref="B44:C44"/>
    <mergeCell ref="D44:H44"/>
    <mergeCell ref="B45:C45"/>
    <mergeCell ref="D45:H45"/>
    <mergeCell ref="B46:C46"/>
    <mergeCell ref="D46:H46"/>
    <mergeCell ref="B39:C39"/>
    <mergeCell ref="D39:H39"/>
    <mergeCell ref="B41:H41"/>
    <mergeCell ref="B42:H42"/>
    <mergeCell ref="B43:C43"/>
    <mergeCell ref="D43:H43"/>
    <mergeCell ref="B36:C36"/>
    <mergeCell ref="D36:H36"/>
    <mergeCell ref="B37:C37"/>
    <mergeCell ref="D37:H37"/>
    <mergeCell ref="B38:C38"/>
    <mergeCell ref="D38:H38"/>
    <mergeCell ref="B33:H33"/>
    <mergeCell ref="B34:C34"/>
    <mergeCell ref="D34:H34"/>
    <mergeCell ref="B35:C35"/>
    <mergeCell ref="D35:H35"/>
    <mergeCell ref="D24:G24"/>
    <mergeCell ref="D25:G25"/>
    <mergeCell ref="D26:G26"/>
    <mergeCell ref="B28:H28"/>
    <mergeCell ref="B29:H31"/>
    <mergeCell ref="D19:G19"/>
    <mergeCell ref="D20:G20"/>
    <mergeCell ref="D21:G21"/>
    <mergeCell ref="D22:G22"/>
    <mergeCell ref="D23:G23"/>
    <mergeCell ref="B11:H11"/>
    <mergeCell ref="B12:H14"/>
    <mergeCell ref="B16:H16"/>
    <mergeCell ref="D17:G17"/>
    <mergeCell ref="D18:G18"/>
    <mergeCell ref="B3:H3"/>
    <mergeCell ref="B4:H5"/>
    <mergeCell ref="B6:H6"/>
    <mergeCell ref="E8:H8"/>
    <mergeCell ref="B9:C9"/>
    <mergeCell ref="E9:H9"/>
  </mergeCells>
  <conditionalFormatting sqref="D17:G26">
    <cfRule type="expression" dxfId="2" priority="2">
      <formula>$M17&gt;=6.667</formula>
    </cfRule>
    <cfRule type="expression" dxfId="1" priority="3">
      <formula>AND($M17&gt;=3.334,$M17&lt;6.667)</formula>
    </cfRule>
    <cfRule type="expression" dxfId="0" priority="4">
      <formula>$M17&lt;3.334</formula>
    </cfRule>
  </conditionalFormatting>
  <pageMargins left="0.5" right="0.5" top="0.5" bottom="0.5" header="0.511811023622047" footer="0.511811023622047"/>
  <pageSetup paperSize="9" fitToHeight="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E7355"/>
    <pageSetUpPr fitToPage="1"/>
  </sheetPr>
  <dimension ref="A1:Y21"/>
  <sheetViews>
    <sheetView showGridLines="0" zoomScaleNormal="100" workbookViewId="0"/>
  </sheetViews>
  <sheetFormatPr baseColWidth="10" defaultColWidth="8.6640625" defaultRowHeight="15" x14ac:dyDescent="0.2"/>
  <cols>
    <col min="1" max="1" width="2" customWidth="1"/>
    <col min="2" max="2" width="40" customWidth="1"/>
    <col min="3" max="10" width="12" customWidth="1"/>
    <col min="11" max="11" width="11" customWidth="1"/>
    <col min="12" max="14" width="9" customWidth="1"/>
    <col min="16" max="16" width="2" customWidth="1"/>
    <col min="17" max="17" width="8" hidden="1" customWidth="1"/>
    <col min="18" max="25" width="13" hidden="1" customWidth="1"/>
  </cols>
  <sheetData>
    <row r="1" spans="1:25" ht="7.5" customHeight="1" x14ac:dyDescent="0.2">
      <c r="A1" s="15"/>
      <c r="B1" s="15"/>
      <c r="C1" s="15"/>
      <c r="D1" s="15"/>
      <c r="E1" s="15"/>
      <c r="F1" s="15"/>
      <c r="G1" s="15"/>
      <c r="H1" s="15"/>
      <c r="I1" s="15"/>
      <c r="J1" s="15"/>
      <c r="K1" s="15"/>
      <c r="L1" s="15"/>
      <c r="M1" s="15"/>
      <c r="N1" s="15"/>
    </row>
    <row r="3" spans="1:25" ht="24" customHeight="1" x14ac:dyDescent="0.2">
      <c r="B3" s="75" t="str">
        <f>_i18n!$D$59</f>
        <v>Vergelijking bestuursleden</v>
      </c>
      <c r="C3" s="75"/>
      <c r="D3" s="75"/>
      <c r="E3" s="75"/>
      <c r="F3" s="75"/>
      <c r="G3" s="75"/>
      <c r="H3" s="75"/>
    </row>
    <row r="4" spans="1:25" ht="37.5" customHeight="1" x14ac:dyDescent="0.2">
      <c r="B4" s="71" t="str">
        <f>_i18n!$D$60</f>
        <v>Laat elk bestuurslid in een eigen kolom een cijfer 1–4 per vraag invullen. De vergelijking toont per vraag het gemiddelde, het laagste en het hoogste oordeel en de spreiding — juist het verschil in beeld voedt het gesprek.</v>
      </c>
      <c r="C4" s="71"/>
      <c r="D4" s="71"/>
      <c r="E4" s="71"/>
      <c r="F4" s="71"/>
      <c r="G4" s="71"/>
      <c r="H4" s="71"/>
      <c r="I4" s="71"/>
      <c r="J4" s="71"/>
      <c r="K4" s="71"/>
      <c r="L4" s="71"/>
      <c r="M4" s="71"/>
      <c r="N4" s="71"/>
    </row>
    <row r="5" spans="1:25" ht="15" customHeight="1" x14ac:dyDescent="0.2">
      <c r="B5" s="71"/>
      <c r="C5" s="71"/>
      <c r="D5" s="71"/>
      <c r="E5" s="71"/>
      <c r="F5" s="71"/>
      <c r="G5" s="71"/>
      <c r="H5" s="71"/>
      <c r="I5" s="71"/>
      <c r="J5" s="71"/>
      <c r="K5" s="71"/>
      <c r="L5" s="71"/>
      <c r="M5" s="71"/>
      <c r="N5" s="71"/>
    </row>
    <row r="7" spans="1:25" ht="15" customHeight="1" x14ac:dyDescent="0.2">
      <c r="B7" s="34" t="str">
        <f>_i18n!$D$62</f>
        <v>Naam</v>
      </c>
      <c r="C7" s="35" t="str">
        <f>_i18n!$D$61&amp;" "&amp;1</f>
        <v>Bestuurslid 1</v>
      </c>
      <c r="D7" s="35" t="str">
        <f>_i18n!$D$61&amp;" "&amp;2</f>
        <v>Bestuurslid 2</v>
      </c>
      <c r="E7" s="35" t="str">
        <f>_i18n!$D$61&amp;" "&amp;3</f>
        <v>Bestuurslid 3</v>
      </c>
      <c r="F7" s="35" t="str">
        <f>_i18n!$D$61&amp;" "&amp;4</f>
        <v>Bestuurslid 4</v>
      </c>
      <c r="G7" s="35" t="str">
        <f>_i18n!$D$61&amp;" "&amp;5</f>
        <v>Bestuurslid 5</v>
      </c>
      <c r="H7" s="35" t="str">
        <f>_i18n!$D$61&amp;" "&amp;6</f>
        <v>Bestuurslid 6</v>
      </c>
      <c r="I7" s="35" t="str">
        <f>_i18n!$D$61&amp;" "&amp;7</f>
        <v>Bestuurslid 7</v>
      </c>
      <c r="J7" s="35" t="str">
        <f>_i18n!$D$61&amp;" "&amp;8</f>
        <v>Bestuurslid 8</v>
      </c>
      <c r="K7" s="36" t="str">
        <f>_i18n!$D$63</f>
        <v>Gemiddeld</v>
      </c>
      <c r="L7" s="36" t="str">
        <f>_i18n!$D$64</f>
        <v>Laagste</v>
      </c>
      <c r="M7" s="36" t="str">
        <f>_i18n!$D$65</f>
        <v>Hoogste</v>
      </c>
      <c r="N7" s="36" t="str">
        <f>_i18n!$D$66</f>
        <v>Spreiding</v>
      </c>
    </row>
    <row r="8" spans="1:25" ht="15" customHeight="1" x14ac:dyDescent="0.2">
      <c r="B8" s="37" t="str">
        <f>_data!A2&amp;"  "&amp;_data!AC2</f>
        <v>V1  Samenhang van AI, cyber en leveranciers</v>
      </c>
      <c r="C8" s="38"/>
      <c r="D8" s="38"/>
      <c r="E8" s="38"/>
      <c r="F8" s="38"/>
      <c r="G8" s="38"/>
      <c r="H8" s="38"/>
      <c r="I8" s="38"/>
      <c r="J8" s="38"/>
      <c r="K8" s="39" t="str">
        <f t="shared" ref="K8:K17" si="0">IF(COUNT(C8:J8)=0,"",ROUND(AVERAGE(C8:J8),1))</f>
        <v/>
      </c>
      <c r="L8" s="40" t="str">
        <f t="shared" ref="L8:L17" si="1">IF(COUNT(C8:J8)=0,"",MIN(C8:J8))</f>
        <v/>
      </c>
      <c r="M8" s="40" t="str">
        <f t="shared" ref="M8:M17" si="2">IF(COUNT(C8:J8)=0,"",MAX(C8:J8))</f>
        <v/>
      </c>
      <c r="N8" s="41" t="str">
        <f t="shared" ref="N8:N17" si="3">IF(COUNT(C8:J8)=0,"",MAX(C8:J8)-MIN(C8:J8))</f>
        <v/>
      </c>
      <c r="Q8">
        <f>_data!B2</f>
        <v>1.5</v>
      </c>
      <c r="R8">
        <f t="shared" ref="R8:R17" si="4">IFERROR(IF(C8="",0,CHOOSE(C8,0,3.333333,6.666667,10)),0)</f>
        <v>0</v>
      </c>
      <c r="S8">
        <f t="shared" ref="S8:S17" si="5">IFERROR(IF(D8="",0,CHOOSE(D8,0,3.333333,6.666667,10)),0)</f>
        <v>0</v>
      </c>
      <c r="T8">
        <f t="shared" ref="T8:T17" si="6">IFERROR(IF(E8="",0,CHOOSE(E8,0,3.333333,6.666667,10)),0)</f>
        <v>0</v>
      </c>
      <c r="U8">
        <f t="shared" ref="U8:U17" si="7">IFERROR(IF(F8="",0,CHOOSE(F8,0,3.333333,6.666667,10)),0)</f>
        <v>0</v>
      </c>
      <c r="V8">
        <f t="shared" ref="V8:V17" si="8">IFERROR(IF(G8="",0,CHOOSE(G8,0,3.333333,6.666667,10)),0)</f>
        <v>0</v>
      </c>
      <c r="W8">
        <f t="shared" ref="W8:W17" si="9">IFERROR(IF(H8="",0,CHOOSE(H8,0,3.333333,6.666667,10)),0)</f>
        <v>0</v>
      </c>
      <c r="X8">
        <f t="shared" ref="X8:X17" si="10">IFERROR(IF(I8="",0,CHOOSE(I8,0,3.333333,6.666667,10)),0)</f>
        <v>0</v>
      </c>
      <c r="Y8">
        <f t="shared" ref="Y8:Y17" si="11">IFERROR(IF(J8="",0,CHOOSE(J8,0,3.333333,6.666667,10)),0)</f>
        <v>0</v>
      </c>
    </row>
    <row r="9" spans="1:25" ht="15" customHeight="1" x14ac:dyDescent="0.2">
      <c r="B9" s="37" t="str">
        <f>_data!A3&amp;"  "&amp;_data!AC3</f>
        <v>V2  Missiekritische afhankelijkheden</v>
      </c>
      <c r="C9" s="38"/>
      <c r="D9" s="38"/>
      <c r="E9" s="38"/>
      <c r="F9" s="38"/>
      <c r="G9" s="38"/>
      <c r="H9" s="38"/>
      <c r="I9" s="38"/>
      <c r="J9" s="38"/>
      <c r="K9" s="39" t="str">
        <f t="shared" si="0"/>
        <v/>
      </c>
      <c r="L9" s="40" t="str">
        <f t="shared" si="1"/>
        <v/>
      </c>
      <c r="M9" s="40" t="str">
        <f t="shared" si="2"/>
        <v/>
      </c>
      <c r="N9" s="41" t="str">
        <f t="shared" si="3"/>
        <v/>
      </c>
      <c r="Q9">
        <f>_data!B3</f>
        <v>1.5</v>
      </c>
      <c r="R9">
        <f t="shared" si="4"/>
        <v>0</v>
      </c>
      <c r="S9">
        <f t="shared" si="5"/>
        <v>0</v>
      </c>
      <c r="T9">
        <f t="shared" si="6"/>
        <v>0</v>
      </c>
      <c r="U9">
        <f t="shared" si="7"/>
        <v>0</v>
      </c>
      <c r="V9">
        <f t="shared" si="8"/>
        <v>0</v>
      </c>
      <c r="W9">
        <f t="shared" si="9"/>
        <v>0</v>
      </c>
      <c r="X9">
        <f t="shared" si="10"/>
        <v>0</v>
      </c>
      <c r="Y9">
        <f t="shared" si="11"/>
        <v>0</v>
      </c>
    </row>
    <row r="10" spans="1:25" ht="15" customHeight="1" x14ac:dyDescent="0.2">
      <c r="B10" s="37" t="str">
        <f>_data!A4&amp;"  "&amp;_data!AC4</f>
        <v>V3  Informatiepositie van de raad</v>
      </c>
      <c r="C10" s="38"/>
      <c r="D10" s="38"/>
      <c r="E10" s="38"/>
      <c r="F10" s="38"/>
      <c r="G10" s="38"/>
      <c r="H10" s="38"/>
      <c r="I10" s="38"/>
      <c r="J10" s="38"/>
      <c r="K10" s="39" t="str">
        <f t="shared" si="0"/>
        <v/>
      </c>
      <c r="L10" s="40" t="str">
        <f t="shared" si="1"/>
        <v/>
      </c>
      <c r="M10" s="40" t="str">
        <f t="shared" si="2"/>
        <v/>
      </c>
      <c r="N10" s="41" t="str">
        <f t="shared" si="3"/>
        <v/>
      </c>
      <c r="Q10">
        <f>_data!B4</f>
        <v>1</v>
      </c>
      <c r="R10">
        <f t="shared" si="4"/>
        <v>0</v>
      </c>
      <c r="S10">
        <f t="shared" si="5"/>
        <v>0</v>
      </c>
      <c r="T10">
        <f t="shared" si="6"/>
        <v>0</v>
      </c>
      <c r="U10">
        <f t="shared" si="7"/>
        <v>0</v>
      </c>
      <c r="V10">
        <f t="shared" si="8"/>
        <v>0</v>
      </c>
      <c r="W10">
        <f t="shared" si="9"/>
        <v>0</v>
      </c>
      <c r="X10">
        <f t="shared" si="10"/>
        <v>0</v>
      </c>
      <c r="Y10">
        <f t="shared" si="11"/>
        <v>0</v>
      </c>
    </row>
    <row r="11" spans="1:25" ht="15" customHeight="1" x14ac:dyDescent="0.2">
      <c r="B11" s="37" t="str">
        <f>_data!A5&amp;"  "&amp;_data!AC5</f>
        <v>V4  Waar menselijke controle verplicht blijft</v>
      </c>
      <c r="C11" s="38"/>
      <c r="D11" s="38"/>
      <c r="E11" s="38"/>
      <c r="F11" s="38"/>
      <c r="G11" s="38"/>
      <c r="H11" s="38"/>
      <c r="I11" s="38"/>
      <c r="J11" s="38"/>
      <c r="K11" s="39" t="str">
        <f t="shared" si="0"/>
        <v/>
      </c>
      <c r="L11" s="40" t="str">
        <f t="shared" si="1"/>
        <v/>
      </c>
      <c r="M11" s="40" t="str">
        <f t="shared" si="2"/>
        <v/>
      </c>
      <c r="N11" s="41" t="str">
        <f t="shared" si="3"/>
        <v/>
      </c>
      <c r="Q11">
        <f>_data!B5</f>
        <v>1</v>
      </c>
      <c r="R11">
        <f t="shared" si="4"/>
        <v>0</v>
      </c>
      <c r="S11">
        <f t="shared" si="5"/>
        <v>0</v>
      </c>
      <c r="T11">
        <f t="shared" si="6"/>
        <v>0</v>
      </c>
      <c r="U11">
        <f t="shared" si="7"/>
        <v>0</v>
      </c>
      <c r="V11">
        <f t="shared" si="8"/>
        <v>0</v>
      </c>
      <c r="W11">
        <f t="shared" si="9"/>
        <v>0</v>
      </c>
      <c r="X11">
        <f t="shared" si="10"/>
        <v>0</v>
      </c>
      <c r="Y11">
        <f t="shared" si="11"/>
        <v>0</v>
      </c>
    </row>
    <row r="12" spans="1:25" ht="15" customHeight="1" x14ac:dyDescent="0.2">
      <c r="B12" s="37" t="str">
        <f>_data!A6&amp;"  "&amp;_data!AC6</f>
        <v>V5  Bewust geaccepteerd restrisico</v>
      </c>
      <c r="C12" s="38"/>
      <c r="D12" s="38"/>
      <c r="E12" s="38"/>
      <c r="F12" s="38"/>
      <c r="G12" s="38"/>
      <c r="H12" s="38"/>
      <c r="I12" s="38"/>
      <c r="J12" s="38"/>
      <c r="K12" s="39" t="str">
        <f t="shared" si="0"/>
        <v/>
      </c>
      <c r="L12" s="40" t="str">
        <f t="shared" si="1"/>
        <v/>
      </c>
      <c r="M12" s="40" t="str">
        <f t="shared" si="2"/>
        <v/>
      </c>
      <c r="N12" s="41" t="str">
        <f t="shared" si="3"/>
        <v/>
      </c>
      <c r="Q12">
        <f>_data!B6</f>
        <v>1.5</v>
      </c>
      <c r="R12">
        <f t="shared" si="4"/>
        <v>0</v>
      </c>
      <c r="S12">
        <f t="shared" si="5"/>
        <v>0</v>
      </c>
      <c r="T12">
        <f t="shared" si="6"/>
        <v>0</v>
      </c>
      <c r="U12">
        <f t="shared" si="7"/>
        <v>0</v>
      </c>
      <c r="V12">
        <f t="shared" si="8"/>
        <v>0</v>
      </c>
      <c r="W12">
        <f t="shared" si="9"/>
        <v>0</v>
      </c>
      <c r="X12">
        <f t="shared" si="10"/>
        <v>0</v>
      </c>
      <c r="Y12">
        <f t="shared" si="11"/>
        <v>0</v>
      </c>
    </row>
    <row r="13" spans="1:25" ht="15" customHeight="1" x14ac:dyDescent="0.2">
      <c r="B13" s="37" t="str">
        <f>_data!A7&amp;"  "&amp;_data!AC7</f>
        <v>V6  Medewerkers kennen de verwachting</v>
      </c>
      <c r="C13" s="38"/>
      <c r="D13" s="38"/>
      <c r="E13" s="38"/>
      <c r="F13" s="38"/>
      <c r="G13" s="38"/>
      <c r="H13" s="38"/>
      <c r="I13" s="38"/>
      <c r="J13" s="38"/>
      <c r="K13" s="39" t="str">
        <f t="shared" si="0"/>
        <v/>
      </c>
      <c r="L13" s="40" t="str">
        <f t="shared" si="1"/>
        <v/>
      </c>
      <c r="M13" s="40" t="str">
        <f t="shared" si="2"/>
        <v/>
      </c>
      <c r="N13" s="41" t="str">
        <f t="shared" si="3"/>
        <v/>
      </c>
      <c r="Q13">
        <f>_data!B7</f>
        <v>1</v>
      </c>
      <c r="R13">
        <f t="shared" si="4"/>
        <v>0</v>
      </c>
      <c r="S13">
        <f t="shared" si="5"/>
        <v>0</v>
      </c>
      <c r="T13">
        <f t="shared" si="6"/>
        <v>0</v>
      </c>
      <c r="U13">
        <f t="shared" si="7"/>
        <v>0</v>
      </c>
      <c r="V13">
        <f t="shared" si="8"/>
        <v>0</v>
      </c>
      <c r="W13">
        <f t="shared" si="9"/>
        <v>0</v>
      </c>
      <c r="X13">
        <f t="shared" si="10"/>
        <v>0</v>
      </c>
      <c r="Y13">
        <f t="shared" si="11"/>
        <v>0</v>
      </c>
    </row>
    <row r="14" spans="1:25" ht="15" customHeight="1" x14ac:dyDescent="0.2">
      <c r="B14" s="37" t="str">
        <f>_data!A8&amp;"  "&amp;_data!AC8</f>
        <v>V7  Makers, bronnen en publiek</v>
      </c>
      <c r="C14" s="38"/>
      <c r="D14" s="38"/>
      <c r="E14" s="38"/>
      <c r="F14" s="38"/>
      <c r="G14" s="38"/>
      <c r="H14" s="38"/>
      <c r="I14" s="38"/>
      <c r="J14" s="38"/>
      <c r="K14" s="39" t="str">
        <f t="shared" si="0"/>
        <v/>
      </c>
      <c r="L14" s="40" t="str">
        <f t="shared" si="1"/>
        <v/>
      </c>
      <c r="M14" s="40" t="str">
        <f t="shared" si="2"/>
        <v/>
      </c>
      <c r="N14" s="41" t="str">
        <f t="shared" si="3"/>
        <v/>
      </c>
      <c r="Q14">
        <f>_data!B8</f>
        <v>1</v>
      </c>
      <c r="R14">
        <f t="shared" si="4"/>
        <v>0</v>
      </c>
      <c r="S14">
        <f t="shared" si="5"/>
        <v>0</v>
      </c>
      <c r="T14">
        <f t="shared" si="6"/>
        <v>0</v>
      </c>
      <c r="U14">
        <f t="shared" si="7"/>
        <v>0</v>
      </c>
      <c r="V14">
        <f t="shared" si="8"/>
        <v>0</v>
      </c>
      <c r="W14">
        <f t="shared" si="9"/>
        <v>0</v>
      </c>
      <c r="X14">
        <f t="shared" si="10"/>
        <v>0</v>
      </c>
      <c r="Y14">
        <f t="shared" si="11"/>
        <v>0</v>
      </c>
    </row>
    <row r="15" spans="1:25" ht="15" customHeight="1" x14ac:dyDescent="0.2">
      <c r="B15" s="37" t="str">
        <f>_data!A9&amp;"  "&amp;_data!AC9</f>
        <v>V8  Georganiseerde tegenspraak</v>
      </c>
      <c r="C15" s="38"/>
      <c r="D15" s="38"/>
      <c r="E15" s="38"/>
      <c r="F15" s="38"/>
      <c r="G15" s="38"/>
      <c r="H15" s="38"/>
      <c r="I15" s="38"/>
      <c r="J15" s="38"/>
      <c r="K15" s="39" t="str">
        <f t="shared" si="0"/>
        <v/>
      </c>
      <c r="L15" s="40" t="str">
        <f t="shared" si="1"/>
        <v/>
      </c>
      <c r="M15" s="40" t="str">
        <f t="shared" si="2"/>
        <v/>
      </c>
      <c r="N15" s="41" t="str">
        <f t="shared" si="3"/>
        <v/>
      </c>
      <c r="Q15">
        <f>_data!B9</f>
        <v>1</v>
      </c>
      <c r="R15">
        <f t="shared" si="4"/>
        <v>0</v>
      </c>
      <c r="S15">
        <f t="shared" si="5"/>
        <v>0</v>
      </c>
      <c r="T15">
        <f t="shared" si="6"/>
        <v>0</v>
      </c>
      <c r="U15">
        <f t="shared" si="7"/>
        <v>0</v>
      </c>
      <c r="V15">
        <f t="shared" si="8"/>
        <v>0</v>
      </c>
      <c r="W15">
        <f t="shared" si="9"/>
        <v>0</v>
      </c>
      <c r="X15">
        <f t="shared" si="10"/>
        <v>0</v>
      </c>
      <c r="Y15">
        <f t="shared" si="11"/>
        <v>0</v>
      </c>
    </row>
    <row r="16" spans="1:25" ht="15" customHeight="1" x14ac:dyDescent="0.2">
      <c r="B16" s="37" t="str">
        <f>_data!A10&amp;"  "&amp;_data!AC10</f>
        <v>V9  Sectorale samenwerking</v>
      </c>
      <c r="C16" s="38"/>
      <c r="D16" s="38"/>
      <c r="E16" s="38"/>
      <c r="F16" s="38"/>
      <c r="G16" s="38"/>
      <c r="H16" s="38"/>
      <c r="I16" s="38"/>
      <c r="J16" s="38"/>
      <c r="K16" s="39" t="str">
        <f t="shared" si="0"/>
        <v/>
      </c>
      <c r="L16" s="40" t="str">
        <f t="shared" si="1"/>
        <v/>
      </c>
      <c r="M16" s="40" t="str">
        <f t="shared" si="2"/>
        <v/>
      </c>
      <c r="N16" s="41" t="str">
        <f t="shared" si="3"/>
        <v/>
      </c>
      <c r="Q16">
        <f>_data!B10</f>
        <v>1</v>
      </c>
      <c r="R16">
        <f t="shared" si="4"/>
        <v>0</v>
      </c>
      <c r="S16">
        <f t="shared" si="5"/>
        <v>0</v>
      </c>
      <c r="T16">
        <f t="shared" si="6"/>
        <v>0</v>
      </c>
      <c r="U16">
        <f t="shared" si="7"/>
        <v>0</v>
      </c>
      <c r="V16">
        <f t="shared" si="8"/>
        <v>0</v>
      </c>
      <c r="W16">
        <f t="shared" si="9"/>
        <v>0</v>
      </c>
      <c r="X16">
        <f t="shared" si="10"/>
        <v>0</v>
      </c>
      <c r="Y16">
        <f t="shared" si="11"/>
        <v>0</v>
      </c>
    </row>
    <row r="17" spans="2:25" ht="15" customHeight="1" x14ac:dyDescent="0.2">
      <c r="B17" s="37" t="str">
        <f>_data!A11&amp;"  "&amp;_data!AC11</f>
        <v>V10  Publieke uitlegbaarheid</v>
      </c>
      <c r="C17" s="38"/>
      <c r="D17" s="38"/>
      <c r="E17" s="38"/>
      <c r="F17" s="38"/>
      <c r="G17" s="38"/>
      <c r="H17" s="38"/>
      <c r="I17" s="38"/>
      <c r="J17" s="38"/>
      <c r="K17" s="39" t="str">
        <f t="shared" si="0"/>
        <v/>
      </c>
      <c r="L17" s="40" t="str">
        <f t="shared" si="1"/>
        <v/>
      </c>
      <c r="M17" s="40" t="str">
        <f t="shared" si="2"/>
        <v/>
      </c>
      <c r="N17" s="41" t="str">
        <f t="shared" si="3"/>
        <v/>
      </c>
      <c r="Q17">
        <f>_data!B11</f>
        <v>1.5</v>
      </c>
      <c r="R17">
        <f t="shared" si="4"/>
        <v>0</v>
      </c>
      <c r="S17">
        <f t="shared" si="5"/>
        <v>0</v>
      </c>
      <c r="T17">
        <f t="shared" si="6"/>
        <v>0</v>
      </c>
      <c r="U17">
        <f t="shared" si="7"/>
        <v>0</v>
      </c>
      <c r="V17">
        <f t="shared" si="8"/>
        <v>0</v>
      </c>
      <c r="W17">
        <f t="shared" si="9"/>
        <v>0</v>
      </c>
      <c r="X17">
        <f t="shared" si="10"/>
        <v>0</v>
      </c>
      <c r="Y17">
        <f t="shared" si="11"/>
        <v>0</v>
      </c>
    </row>
    <row r="19" spans="2:25" ht="15" customHeight="1" x14ac:dyDescent="0.2">
      <c r="B19" s="42" t="str">
        <f>_i18n!$D$67</f>
        <v>Gewogen score (0–10)</v>
      </c>
      <c r="C19" s="43" t="str">
        <f>IF(COUNT(C8:C17)=0,"",ROUND(SUMPRODUCT(Q8:Q17,R8:R17)/120*10,1))</f>
        <v/>
      </c>
      <c r="D19" s="43" t="str">
        <f>IF(COUNT(D8:D17)=0,"",ROUND(SUMPRODUCT(Q8:Q17,S8:S17)/120*10,1))</f>
        <v/>
      </c>
      <c r="E19" s="43" t="str">
        <f>IF(COUNT(E8:E17)=0,"",ROUND(SUMPRODUCT(Q8:Q17,T8:T17)/120*10,1))</f>
        <v/>
      </c>
      <c r="F19" s="43" t="str">
        <f>IF(COUNT(F8:F17)=0,"",ROUND(SUMPRODUCT(Q8:Q17,U8:U17)/120*10,1))</f>
        <v/>
      </c>
      <c r="G19" s="43" t="str">
        <f>IF(COUNT(G8:G17)=0,"",ROUND(SUMPRODUCT(Q8:Q17,V8:V17)/120*10,1))</f>
        <v/>
      </c>
      <c r="H19" s="43" t="str">
        <f>IF(COUNT(H8:H17)=0,"",ROUND(SUMPRODUCT(Q8:Q17,W8:W17)/120*10,1))</f>
        <v/>
      </c>
      <c r="I19" s="43" t="str">
        <f>IF(COUNT(I8:I17)=0,"",ROUND(SUMPRODUCT(Q8:Q17,X8:X17)/120*10,1))</f>
        <v/>
      </c>
      <c r="J19" s="43" t="str">
        <f>IF(COUNT(J8:J17)=0,"",ROUND(SUMPRODUCT(Q8:Q17,Y8:Y17)/120*10,1))</f>
        <v/>
      </c>
      <c r="K19" s="44" t="str">
        <f>IFERROR(ROUND(AVERAGE(C19:J19),1),"")</f>
        <v/>
      </c>
    </row>
    <row r="20" spans="2:25" ht="20.25" customHeight="1" x14ac:dyDescent="0.2">
      <c r="B20" s="42" t="str">
        <f>_i18n!$D$68</f>
        <v>Band</v>
      </c>
      <c r="C20" s="45" t="str">
        <f>IF(C19="","",INDEX(_data!$L$14:$L$18,IF(C19&gt;=8.6,5,IF(C19&gt;=7.1,4,IF(C19&gt;=5.1,3,IF(C19&gt;=3.1,2,1))))))</f>
        <v/>
      </c>
      <c r="D20" s="45" t="str">
        <f>IF(D19="","",INDEX(_data!$L$14:$L$18,IF(D19&gt;=8.6,5,IF(D19&gt;=7.1,4,IF(D19&gt;=5.1,3,IF(D19&gt;=3.1,2,1))))))</f>
        <v/>
      </c>
      <c r="E20" s="45" t="str">
        <f>IF(E19="","",INDEX(_data!$L$14:$L$18,IF(E19&gt;=8.6,5,IF(E19&gt;=7.1,4,IF(E19&gt;=5.1,3,IF(E19&gt;=3.1,2,1))))))</f>
        <v/>
      </c>
      <c r="F20" s="45" t="str">
        <f>IF(F19="","",INDEX(_data!$L$14:$L$18,IF(F19&gt;=8.6,5,IF(F19&gt;=7.1,4,IF(F19&gt;=5.1,3,IF(F19&gt;=3.1,2,1))))))</f>
        <v/>
      </c>
      <c r="G20" s="45" t="str">
        <f>IF(G19="","",INDEX(_data!$L$14:$L$18,IF(G19&gt;=8.6,5,IF(G19&gt;=7.1,4,IF(G19&gt;=5.1,3,IF(G19&gt;=3.1,2,1))))))</f>
        <v/>
      </c>
      <c r="H20" s="45" t="str">
        <f>IF(H19="","",INDEX(_data!$L$14:$L$18,IF(H19&gt;=8.6,5,IF(H19&gt;=7.1,4,IF(H19&gt;=5.1,3,IF(H19&gt;=3.1,2,1))))))</f>
        <v/>
      </c>
      <c r="I20" s="45" t="str">
        <f>IF(I19="","",INDEX(_data!$L$14:$L$18,IF(I19&gt;=8.6,5,IF(I19&gt;=7.1,4,IF(I19&gt;=5.1,3,IF(I19&gt;=3.1,2,1))))))</f>
        <v/>
      </c>
      <c r="J20" s="45" t="str">
        <f>IF(J19="","",INDEX(_data!$L$14:$L$18,IF(J19&gt;=8.6,5,IF(J19&gt;=7.1,4,IF(J19&gt;=5.1,3,IF(J19&gt;=3.1,2,1))))))</f>
        <v/>
      </c>
      <c r="K20" s="46" t="str">
        <f>_i18n!$D$69</f>
        <v>Groepsgemiddelde</v>
      </c>
    </row>
    <row r="21" spans="2:25" ht="15" customHeight="1" x14ac:dyDescent="0.2">
      <c r="B21" s="19" t="str">
        <f>_i18n!$D$70</f>
        <v>Beantwoord</v>
      </c>
      <c r="C21" s="47" t="str">
        <f t="shared" ref="C21:J21" si="12">COUNT(C8:C17)&amp;"/10"</f>
        <v>0/10</v>
      </c>
      <c r="D21" s="47" t="str">
        <f t="shared" si="12"/>
        <v>0/10</v>
      </c>
      <c r="E21" s="47" t="str">
        <f t="shared" si="12"/>
        <v>0/10</v>
      </c>
      <c r="F21" s="47" t="str">
        <f t="shared" si="12"/>
        <v>0/10</v>
      </c>
      <c r="G21" s="47" t="str">
        <f t="shared" si="12"/>
        <v>0/10</v>
      </c>
      <c r="H21" s="47" t="str">
        <f t="shared" si="12"/>
        <v>0/10</v>
      </c>
      <c r="I21" s="47" t="str">
        <f t="shared" si="12"/>
        <v>0/10</v>
      </c>
      <c r="J21" s="47" t="str">
        <f t="shared" si="12"/>
        <v>0/10</v>
      </c>
    </row>
  </sheetData>
  <mergeCells count="2">
    <mergeCell ref="B3:H3"/>
    <mergeCell ref="B4:N5"/>
  </mergeCells>
  <dataValidations count="1">
    <dataValidation type="list" allowBlank="1" showErrorMessage="1" errorTitle="1–4" error="1–4" sqref="C8:J17" xr:uid="{00000000-0002-0000-0300-000000000000}">
      <formula1>"1,2,3,4"</formula1>
      <formula2>0</formula2>
    </dataValidation>
  </dataValidations>
  <pageMargins left="0.4" right="0.4" top="0.5" bottom="0.5"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1"/>
  <sheetViews>
    <sheetView zoomScaleNormal="100" workbookViewId="0"/>
  </sheetViews>
  <sheetFormatPr baseColWidth="10" defaultColWidth="8.6640625" defaultRowHeight="15" x14ac:dyDescent="0.2"/>
  <sheetData>
    <row r="1" spans="1:4" ht="15" customHeight="1" x14ac:dyDescent="0.2">
      <c r="A1" t="s">
        <v>1</v>
      </c>
      <c r="B1" t="s">
        <v>2</v>
      </c>
      <c r="C1" t="s">
        <v>3</v>
      </c>
      <c r="D1" t="s">
        <v>4</v>
      </c>
    </row>
    <row r="2" spans="1:4" ht="15" customHeight="1" x14ac:dyDescent="0.2">
      <c r="A2" t="s">
        <v>5</v>
      </c>
      <c r="B2" t="s">
        <v>6</v>
      </c>
      <c r="C2" t="s">
        <v>7</v>
      </c>
      <c r="D2" t="str">
        <f t="shared" ref="D2:D33" si="0">CHOOSE(LANGCOL,$B2,$C2)</f>
        <v>Digitaal Afhankelijk — Tien vragen voor het gesprek</v>
      </c>
    </row>
    <row r="3" spans="1:4" ht="15" customHeight="1" x14ac:dyDescent="0.2">
      <c r="A3" t="s">
        <v>8</v>
      </c>
      <c r="B3" t="s">
        <v>9</v>
      </c>
      <c r="C3" t="s">
        <v>10</v>
      </c>
      <c r="D3" t="str">
        <f t="shared" si="0"/>
        <v>Bestuurlijke zelftest</v>
      </c>
    </row>
    <row r="4" spans="1:4" ht="15" customHeight="1" x14ac:dyDescent="0.2">
      <c r="A4" t="s">
        <v>11</v>
      </c>
      <c r="B4" t="s">
        <v>12</v>
      </c>
      <c r="C4" t="s">
        <v>13</v>
      </c>
      <c r="D4" t="str">
        <f t="shared" si="0"/>
        <v>Tien vragen voor het gesprek aan de bestuurstafel over AI, cyberrisico en digitale afhankelijkheid.</v>
      </c>
    </row>
    <row r="5" spans="1:4" ht="15" customHeight="1" x14ac:dyDescent="0.2">
      <c r="A5" t="s">
        <v>14</v>
      </c>
      <c r="B5" t="s">
        <v>15</v>
      </c>
      <c r="C5" t="s">
        <v>16</v>
      </c>
      <c r="D5" t="str">
        <f t="shared" si="0"/>
        <v>Tien vragen voor bestuur en toezicht</v>
      </c>
    </row>
    <row r="6" spans="1:4" ht="15" customHeight="1" x14ac:dyDescent="0.2">
      <c r="A6" t="s">
        <v>17</v>
      </c>
      <c r="B6" t="s">
        <v>18</v>
      </c>
      <c r="C6" t="s">
        <v>19</v>
      </c>
      <c r="D6" t="str">
        <f t="shared" si="0"/>
        <v>Het gesprek aan de bestuurstafel</v>
      </c>
    </row>
    <row r="7" spans="1:4" ht="15" customHeight="1" x14ac:dyDescent="0.2">
      <c r="A7" t="s">
        <v>20</v>
      </c>
      <c r="B7" t="s">
        <v>21</v>
      </c>
      <c r="C7" t="s">
        <v>22</v>
      </c>
      <c r="D7" t="str">
        <f t="shared" si="0"/>
        <v>Deze zelftest volgt de tien vragen uit Digitaal Afhankelijk. Ze zijn geen technische toets, maar een manier om te zien of het bestuurlijke gesprek over AI, cyberrisico en leveranciersafhankelijkheid werkelijk wordt gevoerd — en waar het nog ontbreekt.</v>
      </c>
    </row>
    <row r="8" spans="1:4" ht="15" customHeight="1" x14ac:dyDescent="0.2">
      <c r="A8" t="s">
        <v>23</v>
      </c>
      <c r="B8" t="s">
        <v>24</v>
      </c>
      <c r="C8" t="s">
        <v>25</v>
      </c>
      <c r="D8" t="str">
        <f t="shared" si="0"/>
        <v>Kies per vraag het antwoord (1–4) dat het dichtst bij uw instelling ligt, van zwak naar sterk. De uitkomst is een score op een schaal van tien, met een conclusie en aanbevelingen.</v>
      </c>
    </row>
    <row r="9" spans="1:4" ht="15" customHeight="1" x14ac:dyDescent="0.2">
      <c r="A9" t="s">
        <v>26</v>
      </c>
      <c r="B9" t="s">
        <v>27</v>
      </c>
      <c r="C9" t="s">
        <v>28</v>
      </c>
      <c r="D9" t="str">
        <f t="shared" si="0"/>
        <v>De vragenlijst</v>
      </c>
    </row>
    <row r="10" spans="1:4" ht="15" customHeight="1" x14ac:dyDescent="0.2">
      <c r="A10" t="s">
        <v>29</v>
      </c>
      <c r="B10" t="s">
        <v>30</v>
      </c>
      <c r="C10" t="s">
        <v>31</v>
      </c>
      <c r="D10" t="str">
        <f t="shared" si="0"/>
        <v>10 vragen · gewogen</v>
      </c>
    </row>
    <row r="11" spans="1:4" ht="15" customHeight="1" x14ac:dyDescent="0.2">
      <c r="A11" t="s">
        <v>32</v>
      </c>
      <c r="B11" t="s">
        <v>33</v>
      </c>
      <c r="C11" t="s">
        <v>34</v>
      </c>
      <c r="D11" t="str">
        <f t="shared" si="0"/>
        <v>Stand van het gesprek</v>
      </c>
    </row>
    <row r="12" spans="1:4" ht="15" customHeight="1" x14ac:dyDescent="0.2">
      <c r="A12" t="s">
        <v>35</v>
      </c>
      <c r="B12" t="s">
        <v>36</v>
      </c>
      <c r="C12" t="s">
        <v>37</v>
      </c>
      <c r="D12" t="str">
        <f t="shared" si="0"/>
        <v>Conclusie</v>
      </c>
    </row>
    <row r="13" spans="1:4" ht="15" customHeight="1" x14ac:dyDescent="0.2">
      <c r="A13" t="s">
        <v>38</v>
      </c>
      <c r="B13" t="s">
        <v>39</v>
      </c>
      <c r="C13" t="s">
        <v>40</v>
      </c>
      <c r="D13" t="str">
        <f t="shared" si="0"/>
        <v>Aanbeveling</v>
      </c>
    </row>
    <row r="14" spans="1:4" ht="15" customHeight="1" x14ac:dyDescent="0.2">
      <c r="A14" t="s">
        <v>41</v>
      </c>
      <c r="B14" t="s">
        <v>42</v>
      </c>
      <c r="C14" t="s">
        <v>43</v>
      </c>
      <c r="D14" t="str">
        <f t="shared" si="0"/>
        <v>Verantwoording</v>
      </c>
    </row>
    <row r="15" spans="1:4" ht="15" customHeight="1" x14ac:dyDescent="0.2">
      <c r="A15" t="s">
        <v>44</v>
      </c>
      <c r="B15" t="s">
        <v>45</v>
      </c>
      <c r="C15" t="s">
        <v>46</v>
      </c>
      <c r="D15" t="str">
        <f t="shared" si="0"/>
        <v>Deze zelftest geeft een indicatie van het bestuurlijke gesprek; het is geen audit, geen oordeel en geen norm. De uitkomst vervangt geen professioneel, juridisch of technisch advies, en aan de score kunnen geen rechten worden ontleend. Het invullen en het gebruik van de uitkomst zijn voor eigen verantwoordelijkheid van de instelling.</v>
      </c>
    </row>
    <row r="16" spans="1:4" ht="15" customHeight="1" x14ac:dyDescent="0.2">
      <c r="A16" t="s">
        <v>47</v>
      </c>
      <c r="B16" t="s">
        <v>48</v>
      </c>
      <c r="C16" t="s">
        <v>49</v>
      </c>
      <c r="D16" t="str">
        <f t="shared" si="0"/>
        <v>Bestuurlijke zelftest · Digitaal Afhankelijk</v>
      </c>
    </row>
    <row r="17" spans="1:4" ht="15" customHeight="1" x14ac:dyDescent="0.2">
      <c r="A17" t="s">
        <v>50</v>
      </c>
      <c r="B17" t="s">
        <v>51</v>
      </c>
      <c r="C17" t="s">
        <v>52</v>
      </c>
      <c r="D17" t="str">
        <f t="shared" si="0"/>
        <v>Tien vragen voor het gesprek</v>
      </c>
    </row>
    <row r="18" spans="1:4" ht="15" customHeight="1" x14ac:dyDescent="0.2">
      <c r="A18" t="s">
        <v>53</v>
      </c>
      <c r="B18" t="s">
        <v>54</v>
      </c>
      <c r="C18" t="s">
        <v>55</v>
      </c>
      <c r="D18" t="str">
        <f t="shared" si="0"/>
        <v>Wat bestuur en toezicht in de culturele sector bespreken over AI, cyberrisico en digitale afhankelijkheid</v>
      </c>
    </row>
    <row r="19" spans="1:4" ht="15" customHeight="1" x14ac:dyDescent="0.2">
      <c r="A19" t="s">
        <v>56</v>
      </c>
      <c r="B19" t="s">
        <v>57</v>
      </c>
      <c r="C19" t="s">
        <v>57</v>
      </c>
      <c r="D19" t="str">
        <f t="shared" si="0"/>
        <v>Score</v>
      </c>
    </row>
    <row r="20" spans="1:4" ht="15" customHeight="1" x14ac:dyDescent="0.2">
      <c r="A20" t="s">
        <v>58</v>
      </c>
      <c r="B20" t="s">
        <v>33</v>
      </c>
      <c r="C20" t="s">
        <v>34</v>
      </c>
      <c r="D20" t="str">
        <f t="shared" si="0"/>
        <v>Stand van het gesprek</v>
      </c>
    </row>
    <row r="21" spans="1:4" ht="15" customHeight="1" x14ac:dyDescent="0.2">
      <c r="A21" t="s">
        <v>59</v>
      </c>
      <c r="B21" t="s">
        <v>60</v>
      </c>
      <c r="C21" t="s">
        <v>61</v>
      </c>
      <c r="D21" t="str">
        <f t="shared" si="0"/>
        <v>Een zelftest bij Digitaal Afhankelijk — Guido van Nispen · governance.art</v>
      </c>
    </row>
    <row r="22" spans="1:4" ht="15" customHeight="1" x14ac:dyDescent="0.2">
      <c r="A22" t="s">
        <v>62</v>
      </c>
      <c r="B22" t="s">
        <v>63</v>
      </c>
      <c r="C22" t="s">
        <v>64</v>
      </c>
      <c r="D22" t="str">
        <f t="shared" si="0"/>
        <v>01 · Bevindingen</v>
      </c>
    </row>
    <row r="23" spans="1:4" ht="15" customHeight="1" x14ac:dyDescent="0.2">
      <c r="A23" t="s">
        <v>65</v>
      </c>
      <c r="B23" t="s">
        <v>66</v>
      </c>
      <c r="C23" t="s">
        <v>67</v>
      </c>
      <c r="D23" t="str">
        <f t="shared" si="0"/>
        <v>02 · Score per vraag</v>
      </c>
    </row>
    <row r="24" spans="1:4" ht="15" customHeight="1" x14ac:dyDescent="0.2">
      <c r="A24" t="s">
        <v>68</v>
      </c>
      <c r="B24" t="s">
        <v>69</v>
      </c>
      <c r="C24" t="s">
        <v>70</v>
      </c>
      <c r="D24" t="str">
        <f t="shared" si="0"/>
        <v>03 · Aanbeveling</v>
      </c>
    </row>
    <row r="25" spans="1:4" ht="15" customHeight="1" x14ac:dyDescent="0.2">
      <c r="A25" t="s">
        <v>71</v>
      </c>
      <c r="B25" t="s">
        <v>72</v>
      </c>
      <c r="C25" t="s">
        <v>73</v>
      </c>
      <c r="D25" t="str">
        <f t="shared" si="0"/>
        <v>04 · Waar het gesprek het meest oplevert</v>
      </c>
    </row>
    <row r="26" spans="1:4" ht="15" customHeight="1" x14ac:dyDescent="0.2">
      <c r="A26" t="s">
        <v>74</v>
      </c>
      <c r="B26" t="s">
        <v>75</v>
      </c>
      <c r="C26" t="s">
        <v>76</v>
      </c>
      <c r="D26" t="str">
        <f t="shared" si="0"/>
        <v>05 · Proportionaliteit per instelling</v>
      </c>
    </row>
    <row r="27" spans="1:4" ht="15" customHeight="1" x14ac:dyDescent="0.2">
      <c r="A27" t="s">
        <v>77</v>
      </c>
      <c r="B27" t="s">
        <v>78</v>
      </c>
      <c r="C27" t="s">
        <v>79</v>
      </c>
      <c r="D27" t="str">
        <f t="shared" si="0"/>
        <v>06 · De tien antwoorden</v>
      </c>
    </row>
    <row r="28" spans="1:4" ht="15" customHeight="1" x14ac:dyDescent="0.2">
      <c r="A28" t="s">
        <v>80</v>
      </c>
      <c r="B28" t="s">
        <v>81</v>
      </c>
      <c r="C28" t="s">
        <v>82</v>
      </c>
      <c r="D28" t="str">
        <f t="shared" si="0"/>
        <v>Dezelfde vragen pakken anders uit naar schaal en taak. Onderstaande profielen geven de eerste bestuurlijke stap die bij elk type instelling past — geen herweging van de score, maar duiding bij het gesprek.</v>
      </c>
    </row>
    <row r="29" spans="1:4" ht="15" customHeight="1" x14ac:dyDescent="0.2">
      <c r="A29" t="s">
        <v>83</v>
      </c>
      <c r="B29" t="s">
        <v>84</v>
      </c>
      <c r="C29" t="s">
        <v>85</v>
      </c>
      <c r="D29" t="str">
        <f t="shared" si="0"/>
        <v>Vraag</v>
      </c>
    </row>
    <row r="30" spans="1:4" ht="15" customHeight="1" x14ac:dyDescent="0.2">
      <c r="A30" t="s">
        <v>86</v>
      </c>
      <c r="B30" t="s">
        <v>87</v>
      </c>
      <c r="C30" t="s">
        <v>88</v>
      </c>
      <c r="D30" t="str">
        <f t="shared" si="0"/>
        <v>Antwoord</v>
      </c>
    </row>
    <row r="31" spans="1:4" ht="15" customHeight="1" x14ac:dyDescent="0.2">
      <c r="A31" t="s">
        <v>89</v>
      </c>
      <c r="B31" t="s">
        <v>57</v>
      </c>
      <c r="C31" t="s">
        <v>57</v>
      </c>
      <c r="D31" t="str">
        <f t="shared" si="0"/>
        <v>Score</v>
      </c>
    </row>
    <row r="32" spans="1:4" ht="15" customHeight="1" x14ac:dyDescent="0.2">
      <c r="A32" t="s">
        <v>90</v>
      </c>
      <c r="B32" t="s">
        <v>91</v>
      </c>
      <c r="C32" t="s">
        <v>92</v>
      </c>
      <c r="D32" t="str">
        <f t="shared" si="0"/>
        <v>Gewicht</v>
      </c>
    </row>
    <row r="33" spans="1:4" ht="15" customHeight="1" x14ac:dyDescent="0.2">
      <c r="A33" t="s">
        <v>93</v>
      </c>
      <c r="B33" t="s">
        <v>94</v>
      </c>
      <c r="C33" t="s">
        <v>95</v>
      </c>
      <c r="D33" t="str">
        <f t="shared" si="0"/>
        <v>De volgende stap aan de bestuurstafel</v>
      </c>
    </row>
    <row r="34" spans="1:4" ht="15" customHeight="1" x14ac:dyDescent="0.2">
      <c r="A34" t="s">
        <v>96</v>
      </c>
      <c r="B34" t="s">
        <v>97</v>
      </c>
      <c r="C34" t="s">
        <v>98</v>
      </c>
      <c r="D34" t="str">
        <f t="shared" ref="D34:D65" si="1">CHOOSE(LANGCOL,$B34,$C34)</f>
        <v>Deze zelftest volgt de tien vragen uit Digitaal Afhankelijk (Guido van Nispen, governance.art). Het boek werkt elke vraag uit met casussen, niveaus en institutionele profielen.</v>
      </c>
    </row>
    <row r="35" spans="1:4" ht="15" customHeight="1" x14ac:dyDescent="0.2">
      <c r="A35" t="s">
        <v>99</v>
      </c>
      <c r="B35" t="s">
        <v>100</v>
      </c>
      <c r="C35" t="s">
        <v>101</v>
      </c>
      <c r="D35" t="str">
        <f t="shared" si="1"/>
        <v>Welk antwoord ligt het dichtst bij uw instelling?</v>
      </c>
    </row>
    <row r="36" spans="1:4" ht="15" customHeight="1" x14ac:dyDescent="0.2">
      <c r="A36" t="s">
        <v>102</v>
      </c>
      <c r="B36" t="s">
        <v>103</v>
      </c>
      <c r="C36" t="s">
        <v>104</v>
      </c>
      <c r="D36" t="str">
        <f t="shared" si="1"/>
        <v>Bijdrage aan de score</v>
      </c>
    </row>
    <row r="37" spans="1:4" ht="15" customHeight="1" x14ac:dyDescent="0.2">
      <c r="A37" t="s">
        <v>105</v>
      </c>
      <c r="B37" t="s">
        <v>106</v>
      </c>
      <c r="C37" t="s">
        <v>107</v>
      </c>
      <c r="D37" t="str">
        <f t="shared" si="1"/>
        <v>Zwaar ×1,5</v>
      </c>
    </row>
    <row r="38" spans="1:4" ht="15" customHeight="1" x14ac:dyDescent="0.2">
      <c r="A38" t="s">
        <v>108</v>
      </c>
      <c r="B38" t="s">
        <v>109</v>
      </c>
      <c r="C38" t="s">
        <v>110</v>
      </c>
      <c r="D38" t="str">
        <f t="shared" si="1"/>
        <v>Standaard</v>
      </c>
    </row>
    <row r="39" spans="1:4" ht="15" customHeight="1" x14ac:dyDescent="0.2">
      <c r="A39" t="s">
        <v>111</v>
      </c>
      <c r="B39" t="s">
        <v>112</v>
      </c>
      <c r="C39" t="s">
        <v>113</v>
      </c>
      <c r="D39" t="str">
        <f t="shared" si="1"/>
        <v>Nog geen antwoord</v>
      </c>
    </row>
    <row r="40" spans="1:4" ht="15" customHeight="1" x14ac:dyDescent="0.2">
      <c r="A40" t="s">
        <v>114</v>
      </c>
      <c r="B40" t="s">
        <v>115</v>
      </c>
      <c r="C40" t="s">
        <v>116</v>
      </c>
      <c r="D40" t="str">
        <f t="shared" si="1"/>
        <v>Niet beantwoord</v>
      </c>
    </row>
    <row r="41" spans="1:4" ht="15" customHeight="1" x14ac:dyDescent="0.2">
      <c r="A41" t="s">
        <v>117</v>
      </c>
      <c r="B41" t="s">
        <v>118</v>
      </c>
      <c r="C41" t="s">
        <v>119</v>
      </c>
      <c r="D41" t="str">
        <f t="shared" si="1"/>
        <v>Beantwoord de tien vragen om de stand van het bestuurlijke gesprek te zien. De score weegt zwaardere vragen — samenhang, missie, restrisico en publieke uitlegbaarheid — net iets sterker mee.</v>
      </c>
    </row>
    <row r="42" spans="1:4" ht="15" customHeight="1" x14ac:dyDescent="0.2">
      <c r="A42" t="s">
        <v>120</v>
      </c>
      <c r="B42" t="s">
        <v>121</v>
      </c>
      <c r="C42" t="s">
        <v>122</v>
      </c>
      <c r="D42" t="str">
        <f t="shared" si="1"/>
        <v>Het gesprek wordt gevoerd</v>
      </c>
    </row>
    <row r="43" spans="1:4" ht="15" customHeight="1" x14ac:dyDescent="0.2">
      <c r="A43" t="s">
        <v>123</v>
      </c>
      <c r="B43" t="s">
        <v>124</v>
      </c>
      <c r="C43" t="s">
        <v>125</v>
      </c>
      <c r="D43" t="str">
        <f t="shared" si="1"/>
        <v>Op alle tien vragen ligt een sterk antwoord voor. De aandacht verschuift van inhalen naar onderhouden: laat de vragen periodiek terugkeren en houd tegenspraak en restrisico expliciet.</v>
      </c>
    </row>
    <row r="44" spans="1:4" ht="15" customHeight="1" x14ac:dyDescent="0.2">
      <c r="A44" t="s">
        <v>126</v>
      </c>
      <c r="B44" t="s">
        <v>127</v>
      </c>
      <c r="C44" t="s">
        <v>128</v>
      </c>
      <c r="D44" t="str">
        <f t="shared" si="1"/>
        <v xml:space="preserve">(Voorlopig, {n} van 10 beantwoord.) </v>
      </c>
    </row>
    <row r="45" spans="1:4" ht="15" customHeight="1" x14ac:dyDescent="0.2">
      <c r="A45" t="s">
        <v>129</v>
      </c>
      <c r="B45" t="s">
        <v>130</v>
      </c>
      <c r="C45" t="s">
        <v>131</v>
      </c>
      <c r="D45" t="str">
        <f t="shared" si="1"/>
        <v>Taal</v>
      </c>
    </row>
    <row r="46" spans="1:4" ht="15" customHeight="1" x14ac:dyDescent="0.2">
      <c r="A46" t="s">
        <v>132</v>
      </c>
      <c r="B46" t="s">
        <v>133</v>
      </c>
      <c r="C46" t="s">
        <v>134</v>
      </c>
      <c r="D46" t="str">
        <f t="shared" si="1"/>
        <v>Inhoud</v>
      </c>
    </row>
    <row r="47" spans="1:4" ht="15" customHeight="1" x14ac:dyDescent="0.2">
      <c r="A47" t="s">
        <v>135</v>
      </c>
      <c r="B47" t="s">
        <v>136</v>
      </c>
      <c r="C47" t="s">
        <v>137</v>
      </c>
      <c r="D47" t="str">
        <f t="shared" si="1"/>
        <v>Voorblad</v>
      </c>
    </row>
    <row r="48" spans="1:4" ht="15" customHeight="1" x14ac:dyDescent="0.2">
      <c r="A48" t="s">
        <v>138</v>
      </c>
      <c r="B48" t="s">
        <v>139</v>
      </c>
      <c r="C48" t="s">
        <v>140</v>
      </c>
      <c r="D48" t="str">
        <f t="shared" si="1"/>
        <v>Zelftest</v>
      </c>
    </row>
    <row r="49" spans="1:4" ht="15" customHeight="1" x14ac:dyDescent="0.2">
      <c r="A49" t="s">
        <v>141</v>
      </c>
      <c r="B49" t="s">
        <v>142</v>
      </c>
      <c r="C49" t="s">
        <v>143</v>
      </c>
      <c r="D49" t="str">
        <f t="shared" si="1"/>
        <v>Rapport</v>
      </c>
    </row>
    <row r="50" spans="1:4" ht="15" customHeight="1" x14ac:dyDescent="0.2">
      <c r="A50" t="s">
        <v>144</v>
      </c>
      <c r="B50" t="s">
        <v>145</v>
      </c>
      <c r="C50" t="s">
        <v>146</v>
      </c>
      <c r="D50" t="str">
        <f t="shared" si="1"/>
        <v>Vergelijking bestuursleden</v>
      </c>
    </row>
    <row r="51" spans="1:4" ht="15" customHeight="1" x14ac:dyDescent="0.2">
      <c r="A51" t="s">
        <v>147</v>
      </c>
      <c r="B51" t="s">
        <v>148</v>
      </c>
      <c r="C51" t="s">
        <v>149</v>
      </c>
      <c r="D51" t="str">
        <f t="shared" si="1"/>
        <v>Hoe te gebruiken</v>
      </c>
    </row>
    <row r="52" spans="1:4" ht="15" customHeight="1" x14ac:dyDescent="0.2">
      <c r="A52" t="s">
        <v>150</v>
      </c>
      <c r="B52" t="s">
        <v>151</v>
      </c>
      <c r="C52" t="s">
        <v>152</v>
      </c>
      <c r="D52" t="str">
        <f t="shared" si="1"/>
        <v>Kies hierboven uw taal. Vul op het tabblad ‘Zelftest’ bij elke vraag een cijfer 1–4 in (1 = zwak, 4 = sterk); score, band en aanbeveling verschijnen direct. Het tabblad ‘Rapport’ is opgemaakt om te printen of als PDF op te slaan. Op ‘Vergelijking’ vult elk bestuurslid een eigen kolom in en ziet u waar de beelden uiteenlopen.</v>
      </c>
    </row>
    <row r="53" spans="1:4" ht="15" customHeight="1" x14ac:dyDescent="0.2">
      <c r="A53" t="s">
        <v>153</v>
      </c>
      <c r="B53" t="s">
        <v>154</v>
      </c>
      <c r="C53" t="s">
        <v>155</v>
      </c>
      <c r="D53" t="str">
        <f t="shared" si="1"/>
        <v>Antwoord (1–4)</v>
      </c>
    </row>
    <row r="54" spans="1:4" ht="15" customHeight="1" x14ac:dyDescent="0.2">
      <c r="A54" t="s">
        <v>156</v>
      </c>
      <c r="B54" t="s">
        <v>157</v>
      </c>
      <c r="C54" t="s">
        <v>158</v>
      </c>
      <c r="D54" t="str">
        <f t="shared" si="1"/>
        <v>Uw score</v>
      </c>
    </row>
    <row r="55" spans="1:4" ht="15" customHeight="1" x14ac:dyDescent="0.2">
      <c r="A55" t="s">
        <v>159</v>
      </c>
      <c r="B55" t="s">
        <v>160</v>
      </c>
      <c r="C55" t="s">
        <v>161</v>
      </c>
      <c r="D55" t="str">
        <f t="shared" si="1"/>
        <v>op 10</v>
      </c>
    </row>
    <row r="56" spans="1:4" ht="15" customHeight="1" x14ac:dyDescent="0.2">
      <c r="A56" t="s">
        <v>162</v>
      </c>
      <c r="B56" t="s">
        <v>163</v>
      </c>
      <c r="C56" t="s">
        <v>164</v>
      </c>
      <c r="D56" t="str">
        <f t="shared" si="1"/>
        <v>{n} van 10 beantwoord</v>
      </c>
    </row>
    <row r="57" spans="1:4" ht="15" customHeight="1" x14ac:dyDescent="0.2">
      <c r="A57" t="s">
        <v>165</v>
      </c>
      <c r="B57" t="s">
        <v>84</v>
      </c>
      <c r="C57" t="s">
        <v>85</v>
      </c>
      <c r="D57" t="str">
        <f t="shared" si="1"/>
        <v>Vraag</v>
      </c>
    </row>
    <row r="58" spans="1:4" ht="15" customHeight="1" x14ac:dyDescent="0.2">
      <c r="A58" t="s">
        <v>166</v>
      </c>
      <c r="B58" t="s">
        <v>167</v>
      </c>
      <c r="C58" t="s">
        <v>168</v>
      </c>
      <c r="D58" t="str">
        <f t="shared" si="1"/>
        <v>Signaalschaal</v>
      </c>
    </row>
    <row r="59" spans="1:4" ht="15" customHeight="1" x14ac:dyDescent="0.2">
      <c r="A59" t="s">
        <v>169</v>
      </c>
      <c r="B59" t="s">
        <v>145</v>
      </c>
      <c r="C59" t="s">
        <v>146</v>
      </c>
      <c r="D59" t="str">
        <f t="shared" si="1"/>
        <v>Vergelijking bestuursleden</v>
      </c>
    </row>
    <row r="60" spans="1:4" ht="15" customHeight="1" x14ac:dyDescent="0.2">
      <c r="A60" t="s">
        <v>170</v>
      </c>
      <c r="B60" t="s">
        <v>171</v>
      </c>
      <c r="C60" t="s">
        <v>172</v>
      </c>
      <c r="D60" t="str">
        <f t="shared" si="1"/>
        <v>Laat elk bestuurslid in een eigen kolom een cijfer 1–4 per vraag invullen. De vergelijking toont per vraag het gemiddelde, het laagste en het hoogste oordeel en de spreiding — juist het verschil in beeld voedt het gesprek.</v>
      </c>
    </row>
    <row r="61" spans="1:4" ht="15" customHeight="1" x14ac:dyDescent="0.2">
      <c r="A61" t="s">
        <v>173</v>
      </c>
      <c r="B61" t="s">
        <v>174</v>
      </c>
      <c r="C61" t="s">
        <v>175</v>
      </c>
      <c r="D61" t="str">
        <f t="shared" si="1"/>
        <v>Bestuurslid</v>
      </c>
    </row>
    <row r="62" spans="1:4" ht="15" customHeight="1" x14ac:dyDescent="0.2">
      <c r="A62" t="s">
        <v>176</v>
      </c>
      <c r="B62" t="s">
        <v>177</v>
      </c>
      <c r="C62" t="s">
        <v>178</v>
      </c>
      <c r="D62" t="str">
        <f t="shared" si="1"/>
        <v>Naam</v>
      </c>
    </row>
    <row r="63" spans="1:4" ht="15" customHeight="1" x14ac:dyDescent="0.2">
      <c r="A63" t="s">
        <v>179</v>
      </c>
      <c r="B63" t="s">
        <v>180</v>
      </c>
      <c r="C63" t="s">
        <v>181</v>
      </c>
      <c r="D63" t="str">
        <f t="shared" si="1"/>
        <v>Gemiddeld</v>
      </c>
    </row>
    <row r="64" spans="1:4" ht="15" customHeight="1" x14ac:dyDescent="0.2">
      <c r="A64" t="s">
        <v>182</v>
      </c>
      <c r="B64" t="s">
        <v>183</v>
      </c>
      <c r="C64" t="s">
        <v>184</v>
      </c>
      <c r="D64" t="str">
        <f t="shared" si="1"/>
        <v>Laagste</v>
      </c>
    </row>
    <row r="65" spans="1:4" ht="15" customHeight="1" x14ac:dyDescent="0.2">
      <c r="A65" t="s">
        <v>185</v>
      </c>
      <c r="B65" t="s">
        <v>186</v>
      </c>
      <c r="C65" t="s">
        <v>187</v>
      </c>
      <c r="D65" t="str">
        <f t="shared" si="1"/>
        <v>Hoogste</v>
      </c>
    </row>
    <row r="66" spans="1:4" ht="15" customHeight="1" x14ac:dyDescent="0.2">
      <c r="A66" t="s">
        <v>188</v>
      </c>
      <c r="B66" t="s">
        <v>189</v>
      </c>
      <c r="C66" t="s">
        <v>190</v>
      </c>
      <c r="D66" t="str">
        <f t="shared" ref="D66:D71" si="2">CHOOSE(LANGCOL,$B66,$C66)</f>
        <v>Spreiding</v>
      </c>
    </row>
    <row r="67" spans="1:4" ht="15" customHeight="1" x14ac:dyDescent="0.2">
      <c r="A67" t="s">
        <v>191</v>
      </c>
      <c r="B67" t="s">
        <v>192</v>
      </c>
      <c r="C67" t="s">
        <v>193</v>
      </c>
      <c r="D67" t="str">
        <f t="shared" si="2"/>
        <v>Gewogen score (0–10)</v>
      </c>
    </row>
    <row r="68" spans="1:4" ht="15" customHeight="1" x14ac:dyDescent="0.2">
      <c r="A68" t="s">
        <v>194</v>
      </c>
      <c r="B68" t="s">
        <v>195</v>
      </c>
      <c r="C68" t="s">
        <v>195</v>
      </c>
      <c r="D68" t="str">
        <f t="shared" si="2"/>
        <v>Band</v>
      </c>
    </row>
    <row r="69" spans="1:4" ht="15" customHeight="1" x14ac:dyDescent="0.2">
      <c r="A69" t="s">
        <v>196</v>
      </c>
      <c r="B69" t="s">
        <v>197</v>
      </c>
      <c r="C69" t="s">
        <v>198</v>
      </c>
      <c r="D69" t="str">
        <f t="shared" si="2"/>
        <v>Groepsgemiddelde</v>
      </c>
    </row>
    <row r="70" spans="1:4" ht="15" customHeight="1" x14ac:dyDescent="0.2">
      <c r="A70" t="s">
        <v>199</v>
      </c>
      <c r="B70" t="s">
        <v>200</v>
      </c>
      <c r="C70" t="s">
        <v>201</v>
      </c>
      <c r="D70" t="str">
        <f t="shared" si="2"/>
        <v>Beantwoord</v>
      </c>
    </row>
    <row r="71" spans="1:4" ht="15" customHeight="1" x14ac:dyDescent="0.2">
      <c r="A71" t="s">
        <v>202</v>
      </c>
      <c r="B71" t="s">
        <v>203</v>
      </c>
      <c r="C71" t="s">
        <v>204</v>
      </c>
      <c r="D71" t="str">
        <f t="shared" si="2"/>
        <v>Tik op een cel en kies 1–4</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D24"/>
  <sheetViews>
    <sheetView zoomScaleNormal="100" workbookViewId="0"/>
  </sheetViews>
  <sheetFormatPr baseColWidth="10" defaultColWidth="8.6640625" defaultRowHeight="15" x14ac:dyDescent="0.2"/>
  <sheetData>
    <row r="2" spans="1:30" ht="15" customHeight="1" x14ac:dyDescent="0.2">
      <c r="A2" t="s">
        <v>205</v>
      </c>
      <c r="B2">
        <v>1.5</v>
      </c>
      <c r="C2" t="s">
        <v>206</v>
      </c>
      <c r="D2" t="s">
        <v>207</v>
      </c>
      <c r="E2" t="s">
        <v>208</v>
      </c>
      <c r="F2" t="s">
        <v>209</v>
      </c>
      <c r="G2" t="s">
        <v>210</v>
      </c>
      <c r="H2" t="s">
        <v>211</v>
      </c>
      <c r="I2" t="s">
        <v>212</v>
      </c>
      <c r="J2" t="s">
        <v>213</v>
      </c>
      <c r="K2" t="s">
        <v>214</v>
      </c>
      <c r="L2" t="s">
        <v>215</v>
      </c>
      <c r="M2" t="s">
        <v>216</v>
      </c>
      <c r="N2" t="s">
        <v>217</v>
      </c>
      <c r="O2" t="s">
        <v>218</v>
      </c>
      <c r="P2" t="s">
        <v>219</v>
      </c>
      <c r="Q2" t="s">
        <v>220</v>
      </c>
      <c r="R2" t="s">
        <v>221</v>
      </c>
      <c r="S2" t="s">
        <v>222</v>
      </c>
      <c r="T2" t="s">
        <v>223</v>
      </c>
      <c r="U2" t="str">
        <f t="shared" ref="U2:U11" si="0">CHOOSE(LANGCOL,C2,L2)</f>
        <v>Bespreken wij AI, cyber en leveranciersafhankelijkheid als één samenhangende opgave?</v>
      </c>
      <c r="V2" t="str">
        <f t="shared" ref="V2:V11" si="1">CHOOSE(LANGCOL,D2,M2)</f>
        <v>AI gebruikt data, data staat in systemen, systemen leunen op leveranciers — wie de drie apart belegt, ziet het geheel niet.</v>
      </c>
      <c r="W2" t="str">
        <f t="shared" ref="W2:W11" si="2">CHOOSE(LANGCOL,E2,N2)</f>
        <v>De drie onderwerpen liggen bij verschillende afdelingen en komen niet samen op de bestuurstafel.</v>
      </c>
      <c r="X2" t="str">
        <f t="shared" ref="X2:X11" si="3">CHOOSE(LANGCOL,F2,O2)</f>
        <v>We benoemen ze los; de samenhang wordt zelden expliciet gemaakt.</v>
      </c>
      <c r="Y2" t="str">
        <f t="shared" ref="Y2:Y11" si="4">CHOOSE(LANGCOL,G2,P2)</f>
        <v>We zien de samenhang en agenderen die soms gezamenlijk.</v>
      </c>
      <c r="Z2" t="str">
        <f t="shared" ref="Z2:Z11" si="5">CHOOSE(LANGCOL,H2,Q2)</f>
        <v>We bespreken de drie consequent als één opgave en kunnen aangeven waar ze elkaar raken.</v>
      </c>
      <c r="AA2" t="str">
        <f t="shared" ref="AA2:AA11" si="6">CHOOSE(LANGCOL,I2,R2)</f>
        <v>Samenhang</v>
      </c>
      <c r="AB2" t="str">
        <f t="shared" ref="AB2:AB11" si="7">CHOOSE(LANGCOL,J2,S2)</f>
        <v>Zolang AI bij innovatie ligt, cyber bij IT en software bij inkoop, ziet niemand het geheel. Breng de drie als één bestuurlijke opgave op tafel en benoem waar ze elkaar raken.</v>
      </c>
      <c r="AC2" t="str">
        <f t="shared" ref="AC2:AC11" si="8">CHOOSE(LANGCOL,K2,T2)</f>
        <v>Samenhang van AI, cyber en leveranciers</v>
      </c>
      <c r="AD2" t="str">
        <f>IF(B2&gt;1,_i18n!$D$37,_i18n!$D$38)</f>
        <v>Zwaar ×1,5</v>
      </c>
    </row>
    <row r="3" spans="1:30" ht="15" customHeight="1" x14ac:dyDescent="0.2">
      <c r="A3" t="s">
        <v>224</v>
      </c>
      <c r="B3">
        <v>1.5</v>
      </c>
      <c r="C3" t="s">
        <v>225</v>
      </c>
      <c r="D3" t="s">
        <v>226</v>
      </c>
      <c r="E3" t="s">
        <v>227</v>
      </c>
      <c r="F3" t="s">
        <v>228</v>
      </c>
      <c r="G3" t="s">
        <v>229</v>
      </c>
      <c r="H3" t="s">
        <v>230</v>
      </c>
      <c r="I3" t="s">
        <v>231</v>
      </c>
      <c r="J3" t="s">
        <v>232</v>
      </c>
      <c r="K3" t="s">
        <v>231</v>
      </c>
      <c r="L3" t="s">
        <v>233</v>
      </c>
      <c r="M3" t="s">
        <v>234</v>
      </c>
      <c r="N3" t="s">
        <v>235</v>
      </c>
      <c r="O3" t="s">
        <v>236</v>
      </c>
      <c r="P3" t="s">
        <v>237</v>
      </c>
      <c r="Q3" t="s">
        <v>238</v>
      </c>
      <c r="R3" t="s">
        <v>239</v>
      </c>
      <c r="S3" t="s">
        <v>240</v>
      </c>
      <c r="T3" t="s">
        <v>239</v>
      </c>
      <c r="U3" t="str">
        <f t="shared" si="0"/>
        <v>Weten wij welke digitale afhankelijkheden de missie rechtstreeks raken?</v>
      </c>
      <c r="V3" t="str">
        <f t="shared" si="1"/>
        <v>Niet algemene digitale volwassenheid, maar wat voor déze instelling werkelijk kritisch is — collectie, ticketing, metadata of aanvraagproces.</v>
      </c>
      <c r="W3" t="str">
        <f t="shared" si="2"/>
        <v>We onderscheiden kritieke en bijkomstige systemen niet.</v>
      </c>
      <c r="X3" t="str">
        <f t="shared" si="3"/>
        <v>Er is een globaal beeld, maar het is niet gekoppeld aan de missie.</v>
      </c>
      <c r="Y3" t="str">
        <f t="shared" si="4"/>
        <v>De belangrijkste missiekritische afhankelijkheden zijn benoemd.</v>
      </c>
      <c r="Z3" t="str">
        <f t="shared" si="5"/>
        <v>Per missiekritisch proces kennen we de afhankelijkheid, de eigenaar en het herstelpad.</v>
      </c>
      <c r="AA3" t="str">
        <f t="shared" si="6"/>
        <v>Missiekritische afhankelijkheden</v>
      </c>
      <c r="AB3" t="str">
        <f t="shared" si="7"/>
        <v>Algemene digitale volwassenheid zegt weinig. Benoem welke afhankelijkheden de missie rechtstreeks raken en koppel daar eigenaarschap en een herstelpad aan.</v>
      </c>
      <c r="AC3" t="str">
        <f t="shared" si="8"/>
        <v>Missiekritische afhankelijkheden</v>
      </c>
      <c r="AD3" t="str">
        <f>IF(B3&gt;1,_i18n!$D$37,_i18n!$D$38)</f>
        <v>Zwaar ×1,5</v>
      </c>
    </row>
    <row r="4" spans="1:30" ht="15" customHeight="1" x14ac:dyDescent="0.2">
      <c r="A4" t="s">
        <v>241</v>
      </c>
      <c r="B4">
        <v>1</v>
      </c>
      <c r="C4" t="s">
        <v>242</v>
      </c>
      <c r="D4" t="s">
        <v>243</v>
      </c>
      <c r="E4" t="s">
        <v>244</v>
      </c>
      <c r="F4" t="s">
        <v>245</v>
      </c>
      <c r="G4" t="s">
        <v>246</v>
      </c>
      <c r="H4" t="s">
        <v>247</v>
      </c>
      <c r="I4" t="s">
        <v>248</v>
      </c>
      <c r="J4" t="s">
        <v>249</v>
      </c>
      <c r="K4" t="s">
        <v>248</v>
      </c>
      <c r="L4" t="s">
        <v>250</v>
      </c>
      <c r="M4" t="s">
        <v>251</v>
      </c>
      <c r="N4" t="s">
        <v>252</v>
      </c>
      <c r="O4" t="s">
        <v>253</v>
      </c>
      <c r="P4" t="s">
        <v>254</v>
      </c>
      <c r="Q4" t="s">
        <v>255</v>
      </c>
      <c r="R4" t="s">
        <v>256</v>
      </c>
      <c r="S4" t="s">
        <v>257</v>
      </c>
      <c r="T4" t="s">
        <v>256</v>
      </c>
      <c r="U4" t="str">
        <f t="shared" si="0"/>
        <v>Stelt de raad van toezicht zelf zijn informatiebehoefte op, of wacht hij op de directie?</v>
      </c>
      <c r="V4" t="str">
        <f t="shared" si="1"/>
        <v>De raad heeft zicht nodig op kritieke afhankelijkheden, open risico’s, incidenten en eigenaarschap — én op wat nog onbekend is.</v>
      </c>
      <c r="W4" t="str">
        <f t="shared" si="2"/>
        <v>De raad ontvangt vooral geruststellende samenvattingen en vraagt zelden door.</v>
      </c>
      <c r="X4" t="str">
        <f t="shared" si="3"/>
        <v>De raad reageert op wat de directie agendeert, maar vraagt niet zelf uit.</v>
      </c>
      <c r="Y4" t="str">
        <f t="shared" si="4"/>
        <v>De raad benoemt welke informatie hij nodig heeft en vraagt daar gericht naar.</v>
      </c>
      <c r="Z4" t="str">
        <f t="shared" si="5"/>
        <v>De raad stelt zijn informatiebehoefte zelf op, inclusief wat nog onbekend is.</v>
      </c>
      <c r="AA4" t="str">
        <f t="shared" si="6"/>
        <v>Informatiepositie van de raad</v>
      </c>
      <c r="AB4" t="str">
        <f t="shared" si="7"/>
        <v>Een raad die wacht tot de directie agendeert, mist precies de informatie die hij nodig heeft. Stel de informatiebehoefte zelf op — onzekerheid is bestuurbaar zodra zij expliciet is.</v>
      </c>
      <c r="AC4" t="str">
        <f t="shared" si="8"/>
        <v>Informatiepositie van de raad</v>
      </c>
      <c r="AD4" t="str">
        <f>IF(B4&gt;1,_i18n!$D$37,_i18n!$D$38)</f>
        <v>Standaard</v>
      </c>
    </row>
    <row r="5" spans="1:30" ht="15" customHeight="1" x14ac:dyDescent="0.2">
      <c r="A5" t="s">
        <v>258</v>
      </c>
      <c r="B5">
        <v>1</v>
      </c>
      <c r="C5" t="s">
        <v>259</v>
      </c>
      <c r="D5" t="s">
        <v>260</v>
      </c>
      <c r="E5" t="s">
        <v>261</v>
      </c>
      <c r="F5" t="s">
        <v>262</v>
      </c>
      <c r="G5" t="s">
        <v>263</v>
      </c>
      <c r="H5" t="s">
        <v>264</v>
      </c>
      <c r="I5" t="s">
        <v>265</v>
      </c>
      <c r="J5" t="s">
        <v>266</v>
      </c>
      <c r="K5" t="s">
        <v>267</v>
      </c>
      <c r="L5" t="s">
        <v>268</v>
      </c>
      <c r="M5" t="s">
        <v>269</v>
      </c>
      <c r="N5" t="s">
        <v>270</v>
      </c>
      <c r="O5" t="s">
        <v>271</v>
      </c>
      <c r="P5" t="s">
        <v>272</v>
      </c>
      <c r="Q5" t="s">
        <v>273</v>
      </c>
      <c r="R5" t="s">
        <v>274</v>
      </c>
      <c r="S5" t="s">
        <v>275</v>
      </c>
      <c r="T5" t="s">
        <v>276</v>
      </c>
      <c r="U5" t="str">
        <f t="shared" si="0"/>
        <v>Is helder waar menselijke controle verplicht blijft?</v>
      </c>
      <c r="V5" t="str">
        <f t="shared" si="1"/>
        <v>Bij publieksinformatie, gevoelige interpretatie, personele en subsidiebesluiten, incidentcommunicatie en contractkeuzes — daar landt verantwoordelijkheid.</v>
      </c>
      <c r="W5" t="str">
        <f t="shared" si="2"/>
        <v>Er is geen afspraak over waar een mens het laatste woord heeft.</v>
      </c>
      <c r="X5" t="str">
        <f t="shared" si="3"/>
        <v>Het gebeurt informeel, per situatie, zonder vastgelegd kader.</v>
      </c>
      <c r="Y5" t="str">
        <f t="shared" si="4"/>
        <v>Voor de gevoeligste processen is menselijke controle benoemd.</v>
      </c>
      <c r="Z5" t="str">
        <f t="shared" si="5"/>
        <v>Voor alle hoogrisicoprocessen is menselijke controle expliciet aangewezen en toetsbaar.</v>
      </c>
      <c r="AA5" t="str">
        <f t="shared" si="6"/>
        <v>Menselijke controle</v>
      </c>
      <c r="AB5" t="str">
        <f t="shared" si="7"/>
        <v>Menselijke controle is geen formaliteit maar de plek waar verantwoordelijkheid landt. Wijs expliciet aan waar bij AI, cyber en contractkeuzes een mens het laatste woord houdt.</v>
      </c>
      <c r="AC5" t="str">
        <f t="shared" si="8"/>
        <v>Waar menselijke controle verplicht blijft</v>
      </c>
      <c r="AD5" t="str">
        <f>IF(B5&gt;1,_i18n!$D$37,_i18n!$D$38)</f>
        <v>Standaard</v>
      </c>
    </row>
    <row r="6" spans="1:30" ht="15" customHeight="1" x14ac:dyDescent="0.2">
      <c r="A6" t="s">
        <v>277</v>
      </c>
      <c r="B6">
        <v>1.5</v>
      </c>
      <c r="C6" t="s">
        <v>278</v>
      </c>
      <c r="D6" t="s">
        <v>279</v>
      </c>
      <c r="E6" t="s">
        <v>280</v>
      </c>
      <c r="F6" t="s">
        <v>281</v>
      </c>
      <c r="G6" t="s">
        <v>282</v>
      </c>
      <c r="H6" t="s">
        <v>283</v>
      </c>
      <c r="I6" t="s">
        <v>284</v>
      </c>
      <c r="J6" t="s">
        <v>285</v>
      </c>
      <c r="K6" t="s">
        <v>284</v>
      </c>
      <c r="L6" t="s">
        <v>286</v>
      </c>
      <c r="M6" t="s">
        <v>287</v>
      </c>
      <c r="N6" t="s">
        <v>288</v>
      </c>
      <c r="O6" t="s">
        <v>289</v>
      </c>
      <c r="P6" t="s">
        <v>290</v>
      </c>
      <c r="Q6" t="s">
        <v>291</v>
      </c>
      <c r="R6" t="s">
        <v>292</v>
      </c>
      <c r="S6" t="s">
        <v>293</v>
      </c>
      <c r="T6" t="s">
        <v>292</v>
      </c>
      <c r="U6" t="str">
        <f t="shared" si="0"/>
        <v>Weten wij welke risico’s wij bewust accepteren, en waarom?</v>
      </c>
      <c r="V6" t="str">
        <f t="shared" si="1"/>
        <v>Een risico dat niet bekend is, is geen geaccepteerd risico — het is een blinde vlek.</v>
      </c>
      <c r="W6" t="str">
        <f t="shared" si="2"/>
        <v>We hebben niet expliciet naar restrisico gekeken.</v>
      </c>
      <c r="X6" t="str">
        <f t="shared" si="3"/>
        <v>We weten dat er restrisico is, maar niet welk of waarom het aanvaardbaar is.</v>
      </c>
      <c r="Y6" t="str">
        <f t="shared" si="4"/>
        <v>De belangrijkste restrisico’s zijn benoemd en besproken.</v>
      </c>
      <c r="Z6" t="str">
        <f t="shared" si="5"/>
        <v>Per kritiek terrein kennen we het restrisico, weten we waarom het aanvaardbaar is en herijken we het periodiek.</v>
      </c>
      <c r="AA6" t="str">
        <f t="shared" si="6"/>
        <v>Bewust geaccepteerd restrisico</v>
      </c>
      <c r="AB6" t="str">
        <f t="shared" si="7"/>
        <v>Een risico dat niet bekend is, is geen geaccepteerd risico maar een blinde vlek. Maak per kritiek terrein zichtbaar welk restrisico blijft en waarom dat aanvaardbaar is.</v>
      </c>
      <c r="AC6" t="str">
        <f t="shared" si="8"/>
        <v>Bewust geaccepteerd restrisico</v>
      </c>
      <c r="AD6" t="str">
        <f>IF(B6&gt;1,_i18n!$D$37,_i18n!$D$38)</f>
        <v>Zwaar ×1,5</v>
      </c>
    </row>
    <row r="7" spans="1:30" ht="15" customHeight="1" x14ac:dyDescent="0.2">
      <c r="A7" t="s">
        <v>294</v>
      </c>
      <c r="B7">
        <v>1</v>
      </c>
      <c r="C7" t="s">
        <v>295</v>
      </c>
      <c r="D7" t="s">
        <v>296</v>
      </c>
      <c r="E7" t="s">
        <v>297</v>
      </c>
      <c r="F7" t="s">
        <v>298</v>
      </c>
      <c r="G7" t="s">
        <v>299</v>
      </c>
      <c r="H7" t="s">
        <v>300</v>
      </c>
      <c r="I7" t="s">
        <v>301</v>
      </c>
      <c r="J7" t="s">
        <v>302</v>
      </c>
      <c r="K7" t="s">
        <v>303</v>
      </c>
      <c r="L7" t="s">
        <v>304</v>
      </c>
      <c r="M7" t="s">
        <v>305</v>
      </c>
      <c r="N7" t="s">
        <v>306</v>
      </c>
      <c r="O7" t="s">
        <v>307</v>
      </c>
      <c r="P7" t="s">
        <v>308</v>
      </c>
      <c r="Q7" t="s">
        <v>309</v>
      </c>
      <c r="R7" t="s">
        <v>310</v>
      </c>
      <c r="S7" t="s">
        <v>311</v>
      </c>
      <c r="T7" t="s">
        <v>312</v>
      </c>
      <c r="U7" t="str">
        <f t="shared" si="0"/>
        <v>Weten medewerkers wat van hen wordt verwacht?</v>
      </c>
      <c r="V7" t="str">
        <f t="shared" si="1"/>
        <v>AI-beleid dat niemand kent werkt niet; cyberprocedures die niet geoefend zijn werken niet.</v>
      </c>
      <c r="W7" t="str">
        <f t="shared" si="2"/>
        <v>Afspraken bestaan op papier maar zijn medewerkers niet bekend.</v>
      </c>
      <c r="X7" t="str">
        <f t="shared" si="3"/>
        <v>Er zijn richtlijnen, maar ze zijn niet vertaald naar dagelijkse praktijk.</v>
      </c>
      <c r="Y7" t="str">
        <f t="shared" si="4"/>
        <v>Medewerkers kennen de hoofdlijnen; sommige procedures zijn geoefend.</v>
      </c>
      <c r="Z7" t="str">
        <f t="shared" si="5"/>
        <v>Bestuurlijke afspraken zijn vertaald naar werkpraktijk en worden periodiek geoefend.</v>
      </c>
      <c r="AA7" t="str">
        <f t="shared" si="6"/>
        <v>Vertaling naar werkpraktijk</v>
      </c>
      <c r="AB7" t="str">
        <f t="shared" si="7"/>
        <v>Beleid dat medewerkers niet kennen, werkt niet. Vertaal bestuurlijke afspraken naar dagelijkse praktijk en oefen cyber- en AI-procedures.</v>
      </c>
      <c r="AC7" t="str">
        <f t="shared" si="8"/>
        <v>Medewerkers kennen de verwachting</v>
      </c>
      <c r="AD7" t="str">
        <f>IF(B7&gt;1,_i18n!$D$37,_i18n!$D$38)</f>
        <v>Standaard</v>
      </c>
    </row>
    <row r="8" spans="1:30" ht="15" customHeight="1" x14ac:dyDescent="0.2">
      <c r="A8" t="s">
        <v>313</v>
      </c>
      <c r="B8">
        <v>1</v>
      </c>
      <c r="C8" t="s">
        <v>314</v>
      </c>
      <c r="D8" t="s">
        <v>315</v>
      </c>
      <c r="E8" t="s">
        <v>316</v>
      </c>
      <c r="F8" t="s">
        <v>317</v>
      </c>
      <c r="G8" t="s">
        <v>318</v>
      </c>
      <c r="H8" t="s">
        <v>319</v>
      </c>
      <c r="I8" t="s">
        <v>320</v>
      </c>
      <c r="J8" t="s">
        <v>321</v>
      </c>
      <c r="K8" t="s">
        <v>320</v>
      </c>
      <c r="L8" t="s">
        <v>322</v>
      </c>
      <c r="M8" t="s">
        <v>323</v>
      </c>
      <c r="N8" t="s">
        <v>324</v>
      </c>
      <c r="O8" t="s">
        <v>325</v>
      </c>
      <c r="P8" t="s">
        <v>326</v>
      </c>
      <c r="Q8" t="s">
        <v>327</v>
      </c>
      <c r="R8" t="s">
        <v>328</v>
      </c>
      <c r="S8" t="s">
        <v>329</v>
      </c>
      <c r="T8" t="s">
        <v>328</v>
      </c>
      <c r="U8" t="str">
        <f t="shared" si="0"/>
        <v>Kunnen wij uitleggen hoe wij omgaan met makers, bronnen en publiek?</v>
      </c>
      <c r="V8" t="str">
        <f t="shared" si="1"/>
        <v>Bronnen respecteren, synthetische elementen markeren, bias herkennen en correctie mogelijk maken.</v>
      </c>
      <c r="W8" t="str">
        <f t="shared" si="2"/>
        <v>Hier is geen beleid en geen gedeeld beeld over.</v>
      </c>
      <c r="X8" t="str">
        <f t="shared" si="3"/>
        <v>We hebben losse uitgangspunten, maar geen consistente lijn.</v>
      </c>
      <c r="Y8" t="str">
        <f t="shared" si="4"/>
        <v>We markeren en verantwoorden op de meeste plekken bewust.</v>
      </c>
      <c r="Z8" t="str">
        <f t="shared" si="5"/>
        <v>We kunnen aantoonbaar uitleggen hoe we bronnen respecteren, synthetisch markeren en correctie mogelijk maken.</v>
      </c>
      <c r="AA8" t="str">
        <f t="shared" si="6"/>
        <v>Makers, bronnen en publiek</v>
      </c>
      <c r="AB8" t="str">
        <f t="shared" si="7"/>
        <v>Publieke waarde vraagt om uitlegbaarheid: respecteer bronnen, markeer synthetische elementen, herken bias en maak correctie mogelijk — en kunnen aantonen dat u dat doet.</v>
      </c>
      <c r="AC8" t="str">
        <f t="shared" si="8"/>
        <v>Makers, bronnen en publiek</v>
      </c>
      <c r="AD8" t="str">
        <f>IF(B8&gt;1,_i18n!$D$37,_i18n!$D$38)</f>
        <v>Standaard</v>
      </c>
    </row>
    <row r="9" spans="1:30" ht="15" customHeight="1" x14ac:dyDescent="0.2">
      <c r="A9" t="s">
        <v>330</v>
      </c>
      <c r="B9">
        <v>1</v>
      </c>
      <c r="C9" t="s">
        <v>331</v>
      </c>
      <c r="D9" t="s">
        <v>332</v>
      </c>
      <c r="E9" t="s">
        <v>333</v>
      </c>
      <c r="F9" t="s">
        <v>334</v>
      </c>
      <c r="G9" t="s">
        <v>335</v>
      </c>
      <c r="H9" t="s">
        <v>336</v>
      </c>
      <c r="I9" t="s">
        <v>337</v>
      </c>
      <c r="J9" t="s">
        <v>338</v>
      </c>
      <c r="K9" t="s">
        <v>339</v>
      </c>
      <c r="L9" t="s">
        <v>340</v>
      </c>
      <c r="M9" t="s">
        <v>341</v>
      </c>
      <c r="N9" t="s">
        <v>342</v>
      </c>
      <c r="O9" t="s">
        <v>343</v>
      </c>
      <c r="P9" t="s">
        <v>344</v>
      </c>
      <c r="Q9" t="s">
        <v>345</v>
      </c>
      <c r="R9" t="s">
        <v>346</v>
      </c>
      <c r="S9" t="s">
        <v>347</v>
      </c>
      <c r="T9" t="s">
        <v>348</v>
      </c>
      <c r="U9" t="str">
        <f t="shared" si="0"/>
        <v>Organiseert de instelling voldoende tegenspraak?</v>
      </c>
      <c r="V9" t="str">
        <f t="shared" si="1"/>
        <v>Digitale keuzes worden gedreven door snelheid, gemak of leveranciersdruk — hebben tegenstemmen werkelijk invloed?</v>
      </c>
      <c r="W9" t="str">
        <f t="shared" si="2"/>
        <v>Beslissingen volgen snelheid en gemak; tegenspraak is er nauwelijks.</v>
      </c>
      <c r="X9" t="str">
        <f t="shared" si="3"/>
        <v>Er is ruimte voor bezwaar, maar het verandert zelden een besluit.</v>
      </c>
      <c r="Y9" t="str">
        <f t="shared" si="4"/>
        <v>Tegenspraak is georganiseerd en weegt soms mee.</v>
      </c>
      <c r="Z9" t="str">
        <f t="shared" si="5"/>
        <v>Tegenstemmen — medewerkers, makers, juristen, publiek — hebben aantoonbaar invloed op besluiten.</v>
      </c>
      <c r="AA9" t="str">
        <f t="shared" si="6"/>
        <v>Tegenspraak</v>
      </c>
      <c r="AB9" t="str">
        <f t="shared" si="7"/>
        <v>Snelheid, gemak en leveranciersdruk sturen digitale keuzes. Organiseer tegenspraak die werkelijk weegt en toets of die invloed echt is.</v>
      </c>
      <c r="AC9" t="str">
        <f t="shared" si="8"/>
        <v>Georganiseerde tegenspraak</v>
      </c>
      <c r="AD9" t="str">
        <f>IF(B9&gt;1,_i18n!$D$37,_i18n!$D$38)</f>
        <v>Standaard</v>
      </c>
    </row>
    <row r="10" spans="1:30" ht="15" customHeight="1" x14ac:dyDescent="0.2">
      <c r="A10" t="s">
        <v>349</v>
      </c>
      <c r="B10">
        <v>1</v>
      </c>
      <c r="C10" t="s">
        <v>350</v>
      </c>
      <c r="D10" t="s">
        <v>351</v>
      </c>
      <c r="E10" t="s">
        <v>352</v>
      </c>
      <c r="F10" t="s">
        <v>353</v>
      </c>
      <c r="G10" t="s">
        <v>354</v>
      </c>
      <c r="H10" t="s">
        <v>355</v>
      </c>
      <c r="I10" t="s">
        <v>356</v>
      </c>
      <c r="J10" t="s">
        <v>357</v>
      </c>
      <c r="K10" t="s">
        <v>356</v>
      </c>
      <c r="L10" t="s">
        <v>358</v>
      </c>
      <c r="M10" t="s">
        <v>359</v>
      </c>
      <c r="N10" t="s">
        <v>360</v>
      </c>
      <c r="O10" t="s">
        <v>361</v>
      </c>
      <c r="P10" t="s">
        <v>362</v>
      </c>
      <c r="Q10" t="s">
        <v>363</v>
      </c>
      <c r="R10" t="s">
        <v>364</v>
      </c>
      <c r="S10" t="s">
        <v>365</v>
      </c>
      <c r="T10" t="s">
        <v>364</v>
      </c>
      <c r="U10" t="str">
        <f t="shared" si="0"/>
        <v>Weten wij waar sectorale samenwerking meer waarde heeft dan individuele actie?</v>
      </c>
      <c r="V10" t="str">
        <f t="shared" si="1"/>
        <v>Sommige risico’s zijn te groot of te complex voor één instelling.</v>
      </c>
      <c r="W10" t="str">
        <f t="shared" si="2"/>
        <v>Samenwerking is geen onderwerp; we lossen alles zelf op.</v>
      </c>
      <c r="X10" t="str">
        <f t="shared" si="3"/>
        <v>We werken incidenteel samen, zonder afweging waar dat het meest helpt.</v>
      </c>
      <c r="Y10" t="str">
        <f t="shared" si="4"/>
        <v>We benoemen waar samenwerking nodig is en zoeken die soms op.</v>
      </c>
      <c r="Z10" t="str">
        <f t="shared" si="5"/>
        <v>We bepalen bewust waar een gezamenlijke aanpak meer oplevert dan individuele actie.</v>
      </c>
      <c r="AA10" t="str">
        <f t="shared" si="6"/>
        <v>Sectorale samenwerking</v>
      </c>
      <c r="AB10" t="str">
        <f t="shared" si="7"/>
        <v>Sommige risico’s zijn te groot voor één instelling. Bepaal bewust waar een gezamenlijke aanpak meer oplevert dan individuele actie.</v>
      </c>
      <c r="AC10" t="str">
        <f t="shared" si="8"/>
        <v>Sectorale samenwerking</v>
      </c>
      <c r="AD10" t="str">
        <f>IF(B10&gt;1,_i18n!$D$37,_i18n!$D$38)</f>
        <v>Standaard</v>
      </c>
    </row>
    <row r="11" spans="1:30" ht="15" customHeight="1" x14ac:dyDescent="0.2">
      <c r="A11" t="s">
        <v>366</v>
      </c>
      <c r="B11">
        <v>1.5</v>
      </c>
      <c r="C11" t="s">
        <v>367</v>
      </c>
      <c r="D11" t="s">
        <v>368</v>
      </c>
      <c r="E11" t="s">
        <v>369</v>
      </c>
      <c r="F11" t="s">
        <v>370</v>
      </c>
      <c r="G11" t="s">
        <v>371</v>
      </c>
      <c r="H11" t="s">
        <v>372</v>
      </c>
      <c r="I11" t="s">
        <v>373</v>
      </c>
      <c r="J11" t="s">
        <v>374</v>
      </c>
      <c r="K11" t="s">
        <v>373</v>
      </c>
      <c r="L11" t="s">
        <v>375</v>
      </c>
      <c r="M11" t="s">
        <v>376</v>
      </c>
      <c r="N11" t="s">
        <v>377</v>
      </c>
      <c r="O11" t="s">
        <v>378</v>
      </c>
      <c r="P11" t="s">
        <v>379</v>
      </c>
      <c r="Q11" t="s">
        <v>380</v>
      </c>
      <c r="R11" t="s">
        <v>381</v>
      </c>
      <c r="S11" t="s">
        <v>382</v>
      </c>
      <c r="T11" t="s">
        <v>381</v>
      </c>
      <c r="U11" t="str">
        <f t="shared" si="0"/>
        <v>Zijn onze digitale keuzes publiek uitlegbaar?</v>
      </c>
      <c r="V11" t="str">
        <f t="shared" si="1"/>
        <v>Uitlegbaarheid vooraf is bijna altijd beter dan verdediging achteraf.</v>
      </c>
      <c r="W11" t="str">
        <f t="shared" si="2"/>
        <v>We denken pas na over uitleg als er een incident of een vraag komt.</v>
      </c>
      <c r="X11" t="str">
        <f t="shared" si="3"/>
        <v>We kunnen achteraf verantwoorden, maar wegen uitlegbaarheid niet vooraf mee.</v>
      </c>
      <c r="Y11" t="str">
        <f t="shared" si="4"/>
        <v>Bij de meeste keuzes denken we vooraf na over publieke uitleg.</v>
      </c>
      <c r="Z11" t="str">
        <f t="shared" si="5"/>
        <v>Publieke uitlegbaarheid is vooraf onderdeel van elke wezenlijke digitale keuze.</v>
      </c>
      <c r="AA11" t="str">
        <f t="shared" si="6"/>
        <v>Publieke uitlegbaarheid</v>
      </c>
      <c r="AB11" t="str">
        <f t="shared" si="7"/>
        <v>Uitlegbaarheid vooraf is bijna altijd beter dan verdediging achteraf. Maak publieke uitlegbaarheid onderdeel van elke wezenlijke digitale keuze.</v>
      </c>
      <c r="AC11" t="str">
        <f t="shared" si="8"/>
        <v>Publieke uitlegbaarheid</v>
      </c>
      <c r="AD11" t="str">
        <f>IF(B11&gt;1,_i18n!$D$37,_i18n!$D$38)</f>
        <v>Zwaar ×1,5</v>
      </c>
    </row>
    <row r="14" spans="1:30" ht="15" customHeight="1" x14ac:dyDescent="0.2">
      <c r="A14">
        <v>1</v>
      </c>
      <c r="B14" t="s">
        <v>383</v>
      </c>
      <c r="C14" t="s">
        <v>384</v>
      </c>
      <c r="D14" t="s">
        <v>385</v>
      </c>
      <c r="E14" t="s">
        <v>386</v>
      </c>
      <c r="F14" t="s">
        <v>387</v>
      </c>
      <c r="G14" t="s">
        <v>388</v>
      </c>
      <c r="H14" t="s">
        <v>389</v>
      </c>
      <c r="I14" t="s">
        <v>390</v>
      </c>
      <c r="J14" t="s">
        <v>391</v>
      </c>
      <c r="K14" t="s">
        <v>392</v>
      </c>
      <c r="L14" t="str">
        <f>CHOOSE(LANGCOL,B14,C14)</f>
        <v>Onbesproken terrein</v>
      </c>
      <c r="M14" t="str">
        <f>CHOOSE(LANGCOL,D14,E14)</f>
        <v>0 – 3,0</v>
      </c>
      <c r="N14" t="str">
        <f>CHOOSE(LANGCOL,F14,G14)</f>
        <v>De onderwerpen zijn bestuurlijk vrijwel onbesproken. AI, cyberrisico en leveranciersafhankelijkheid liggen verspreid over dossiers die elk afzonderlijk hanteerbaar lijken, terwijl niemand het geheel ziet. Dit is het moment om het gesprek voor het eerst te voeren.</v>
      </c>
      <c r="O14" t="str">
        <f>CHOOSE(LANGCOL,H14,I14)</f>
        <v>De eerste stap is het gesprek zelf. Breng AI, cyber en leveranciersafhankelijkheid voor het eerst samen op de bestuurstafel, benoem wat kritiek is en wie eigenaar is, en maak zichtbaar wat nog onbekend is. Onzekerheid is bestuurbaar zodra zij expliciet wordt.</v>
      </c>
      <c r="P14" t="str">
        <f>CHOOSE(LANGCOL,J14,K14)</f>
        <v>Agendeer dit als zelfstandig bestuursdossier; de tien vragen vormen de structuur voor het eerste gesprek.</v>
      </c>
    </row>
    <row r="15" spans="1:30" ht="15" customHeight="1" x14ac:dyDescent="0.2">
      <c r="A15">
        <v>2</v>
      </c>
      <c r="B15" t="s">
        <v>393</v>
      </c>
      <c r="C15" t="s">
        <v>394</v>
      </c>
      <c r="D15" t="s">
        <v>395</v>
      </c>
      <c r="E15" t="s">
        <v>396</v>
      </c>
      <c r="F15" t="s">
        <v>397</v>
      </c>
      <c r="G15" t="s">
        <v>398</v>
      </c>
      <c r="H15" t="s">
        <v>399</v>
      </c>
      <c r="I15" t="s">
        <v>400</v>
      </c>
      <c r="J15" t="s">
        <v>401</v>
      </c>
      <c r="K15" t="s">
        <v>402</v>
      </c>
      <c r="L15" t="str">
        <f>CHOOSE(LANGCOL,B15,C15)</f>
        <v>Beginnend bewustzijn</v>
      </c>
      <c r="M15" t="str">
        <f>CHOOSE(LANGCOL,D15,E15)</f>
        <v>3,1 – 5,0</v>
      </c>
      <c r="N15" t="str">
        <f>CHOOSE(LANGCOL,F15,G15)</f>
        <v>Het digitale gesprek staat nog aan het begin. Kritieke afhankelijkheden, eigenaarschap en geaccepteerd risico zijn grotendeels onbenoemd. Dat is geen teken van onwil, maar van een gesprek dat te lang is uitgesteld — en het is goed om te beginnen.</v>
      </c>
      <c r="O15" t="str">
        <f>CHOOSE(LANGCOL,H15,I15)</f>
        <v>Zet eerst de basisorde neer: benoem de missiekritische afhankelijkheden en hun eigenaar, leg vast waar menselijke controle verplicht blijft en zorg dat de raad zelf zijn informatiebehoefte opstelt in plaats van te wachten op de directie.</v>
      </c>
      <c r="P15" t="str">
        <f>CHOOSE(LANGCOL,J15,K15)</f>
        <v>Plan een eerste bestuurlijke sessie waarin u deze tien vragen samen doorloopt en de grootste blinde vlekken benoemt.</v>
      </c>
    </row>
    <row r="16" spans="1:30" ht="15" customHeight="1" x14ac:dyDescent="0.2">
      <c r="A16">
        <v>3</v>
      </c>
      <c r="B16" t="s">
        <v>403</v>
      </c>
      <c r="C16" t="s">
        <v>404</v>
      </c>
      <c r="D16" t="s">
        <v>405</v>
      </c>
      <c r="E16" t="s">
        <v>406</v>
      </c>
      <c r="F16" t="s">
        <v>407</v>
      </c>
      <c r="G16" t="s">
        <v>408</v>
      </c>
      <c r="H16" t="s">
        <v>409</v>
      </c>
      <c r="I16" t="s">
        <v>410</v>
      </c>
      <c r="J16" t="s">
        <v>411</v>
      </c>
      <c r="K16" t="s">
        <v>412</v>
      </c>
      <c r="L16" t="str">
        <f>CHOOSE(LANGCOL,B16,C16)</f>
        <v>Gedeeltelijk zicht</v>
      </c>
      <c r="M16" t="str">
        <f>CHOOSE(LANGCOL,D16,E16)</f>
        <v>5,1 – 7,0</v>
      </c>
      <c r="N16" t="str">
        <f>CHOOSE(LANGCOL,F16,G16)</f>
        <v>Er is een begin van bestuurlijk zicht, maar belangrijke vragen blijven impliciet. De samenhang tussen de drie domeinen, het expliciet maken van restrisico of de informatiepositie van de raad vragen aandacht voordat van volwassen governance sprake is.</v>
      </c>
      <c r="O16" t="str">
        <f>CHOOSE(LANGCOL,H16,I16)</f>
        <v>Begin bij de samenhang: agendeer AI, cyber en leveranciers als één opgave en koppel ze aan de missie. Maak per missiekritisch proces de eigenaar en het herstelpad zichtbaar, en maak restrisico expliciet in plaats van impliciet.</v>
      </c>
      <c r="P16" t="str">
        <f>CHOOSE(LANGCOL,J16,K16)</f>
        <v>Neem de zwakst scorende vragen als agenda voor de komende honderd dagen; begin bij samenhang en missie.</v>
      </c>
    </row>
    <row r="17" spans="1:16" ht="15" customHeight="1" x14ac:dyDescent="0.2">
      <c r="A17">
        <v>4</v>
      </c>
      <c r="B17" t="s">
        <v>413</v>
      </c>
      <c r="C17" t="s">
        <v>414</v>
      </c>
      <c r="D17" t="s">
        <v>415</v>
      </c>
      <c r="E17" t="s">
        <v>416</v>
      </c>
      <c r="F17" t="s">
        <v>417</v>
      </c>
      <c r="G17" t="s">
        <v>418</v>
      </c>
      <c r="H17" t="s">
        <v>419</v>
      </c>
      <c r="I17" t="s">
        <v>420</v>
      </c>
      <c r="J17" t="s">
        <v>421</v>
      </c>
      <c r="K17" t="s">
        <v>422</v>
      </c>
      <c r="L17" t="str">
        <f>CHOOSE(LANGCOL,B17,C17)</f>
        <v>Grotendeels op orde</v>
      </c>
      <c r="M17" t="str">
        <f>CHOOSE(LANGCOL,D17,E17)</f>
        <v>7,1 – 8,5</v>
      </c>
      <c r="N17" t="str">
        <f>CHOOSE(LANGCOL,F17,G17)</f>
        <v>Het gesprek wordt grotendeels gevoerd. De meeste bestuurlijke vragen zijn belegd; op enkele punten — vaak tegenspraak, sectorale samenwerking of de vertaling naar werkpraktijk — blijft het beeld onaf. Met gerichte aandacht is de stap naar volwassen regie klein.</v>
      </c>
      <c r="O17" t="str">
        <f>CHOOSE(LANGCOL,H17,I17)</f>
        <v>Sluit de resterende lacunes: vertaal afspraken naar werkpraktijk en oefen ze, organiseer tegenspraak die werkelijk weegt en bepaal waar sectorale samenwerking meer oplevert dan individuele actie. Leg vast welk restrisico u bewust aanvaardt.</v>
      </c>
      <c r="P17" t="str">
        <f>CHOOSE(LANGCOL,J17,K17)</f>
        <v>Bespreek de twee of drie zwakste antwoorden gericht in de eerstvolgende vergadering en wijs per punt een eigenaar aan.</v>
      </c>
    </row>
    <row r="18" spans="1:16" ht="15" customHeight="1" x14ac:dyDescent="0.2">
      <c r="A18">
        <v>5</v>
      </c>
      <c r="B18" t="s">
        <v>423</v>
      </c>
      <c r="C18" t="s">
        <v>424</v>
      </c>
      <c r="D18" t="s">
        <v>425</v>
      </c>
      <c r="E18" t="s">
        <v>426</v>
      </c>
      <c r="F18" t="s">
        <v>427</v>
      </c>
      <c r="G18" t="s">
        <v>428</v>
      </c>
      <c r="H18" t="s">
        <v>429</v>
      </c>
      <c r="I18" t="s">
        <v>430</v>
      </c>
      <c r="J18" t="s">
        <v>431</v>
      </c>
      <c r="K18" t="s">
        <v>432</v>
      </c>
      <c r="L18" t="str">
        <f>CHOOSE(LANGCOL,B18,C18)</f>
        <v>Volwassen bestuur</v>
      </c>
      <c r="M18" t="str">
        <f>CHOOSE(LANGCOL,D18,E18)</f>
        <v>8,6 – 10</v>
      </c>
      <c r="N18" t="str">
        <f>CHOOSE(LANGCOL,F18,G18)</f>
        <v>De raad voert het digitale gesprek volwassen. AI, cyberrisico en leveranciersafhankelijkheid worden als samenhangende opgave besproken, de missiekritische afhankelijkheden zijn benoemd, restrisico’s zijn expliciet en de keuzes zijn publiek uitlegbaar. De opgave is nu onderhoud: het ritme vasthouden en het gesprek levend houden naarmate de techniek verschuift.</v>
      </c>
      <c r="O18" t="str">
        <f>CHOOSE(LANGCOL,H18,I18)</f>
        <v>Houd het ritme vast: laat de tien vragen periodiek terugkeren op de agenda, herijk restrisico’s en toets meegeleverde AI-functies bij elke contractcyclus. Borg dat tegenspraak invloed houdt naarmate de druk om snel te beslissen toeneemt.</v>
      </c>
      <c r="P18" t="str">
        <f>CHOOSE(LANGCOL,J18,K18)</f>
        <v>Gebruik deze uitkomst om het gesprek scherp te houden, niet om het af te ronden. Volwassen governance is een ritme, geen eindrapport.</v>
      </c>
    </row>
    <row r="21" spans="1:16" ht="15" customHeight="1" x14ac:dyDescent="0.2">
      <c r="A21" t="s">
        <v>433</v>
      </c>
      <c r="B21" t="s">
        <v>434</v>
      </c>
      <c r="C21" t="s">
        <v>435</v>
      </c>
      <c r="D21" t="s">
        <v>436</v>
      </c>
      <c r="E21" t="s">
        <v>437</v>
      </c>
      <c r="F21" t="s">
        <v>438</v>
      </c>
      <c r="G21" t="str">
        <f>CHOOSE(LANGCOL,A21,B21)</f>
        <v>Klein &amp; lokaal</v>
      </c>
      <c r="H21" t="str">
        <f>CHOOSE(LANGCOL,C21,D21)</f>
        <v>Persoonsafhankelijkheid, informele accounts, groot vertrouwen in externe partijen.</v>
      </c>
      <c r="I21" t="str">
        <f>CHOOSE(LANGCOL,E21,F21)</f>
        <v>Basisorde: eigenaarschap, leveranciersoverzicht, herstelafspraken en heldere escalatie.</v>
      </c>
    </row>
    <row r="22" spans="1:16" ht="15" customHeight="1" x14ac:dyDescent="0.2">
      <c r="A22" t="s">
        <v>439</v>
      </c>
      <c r="B22" t="s">
        <v>440</v>
      </c>
      <c r="C22" t="s">
        <v>441</v>
      </c>
      <c r="D22" t="s">
        <v>442</v>
      </c>
      <c r="E22" t="s">
        <v>443</v>
      </c>
      <c r="F22" t="s">
        <v>444</v>
      </c>
      <c r="G22" t="str">
        <f>CHOOSE(LANGCOL,A22,B22)</f>
        <v>Middelgroot &amp; groeiend</v>
      </c>
      <c r="H22" t="str">
        <f>CHOOSE(LANGCOL,C22,D22)</f>
        <v>Veel losse tools, versnipperd eigenaarschap, pragmatische verlengingen.</v>
      </c>
      <c r="I22" t="str">
        <f>CHOOSE(LANGCOL,E22,F22)</f>
        <v>Prioritering: centrale keuzes, registers, kwartaalritme en expliciete besluiten over wat kritiek is.</v>
      </c>
    </row>
    <row r="23" spans="1:16" ht="15" customHeight="1" x14ac:dyDescent="0.2">
      <c r="A23" t="s">
        <v>445</v>
      </c>
      <c r="B23" t="s">
        <v>446</v>
      </c>
      <c r="C23" t="s">
        <v>447</v>
      </c>
      <c r="D23" t="s">
        <v>448</v>
      </c>
      <c r="E23" t="s">
        <v>449</v>
      </c>
      <c r="F23" t="s">
        <v>450</v>
      </c>
      <c r="G23" t="str">
        <f>CHOOSE(LANGCOL,A23,B23)</f>
        <v>Groot &amp; complex</v>
      </c>
      <c r="H23" t="str">
        <f>CHOOSE(LANGCOL,C23,D23)</f>
        <v>Schijnzekerheid door veel systemen, silo’s en specialisten.</v>
      </c>
      <c r="I23" t="str">
        <f>CHOOSE(LANGCOL,E23,F23)</f>
        <v>Bestuurlijke vertaalslag: bewijs op herstelvermogen, ketenrisico, vendor-critical overzicht en restrisico.</v>
      </c>
    </row>
    <row r="24" spans="1:16" ht="15" customHeight="1" x14ac:dyDescent="0.2">
      <c r="A24" t="s">
        <v>451</v>
      </c>
      <c r="B24" t="s">
        <v>452</v>
      </c>
      <c r="C24" t="s">
        <v>453</v>
      </c>
      <c r="D24" t="s">
        <v>454</v>
      </c>
      <c r="E24" t="s">
        <v>455</v>
      </c>
      <c r="F24" t="s">
        <v>456</v>
      </c>
      <c r="G24" t="str">
        <f>CHOOSE(LANGCOL,A24,B24)</f>
        <v>Archief, erfgoed &amp; journalistiek</v>
      </c>
      <c r="H24" t="str">
        <f>CHOOSE(LANGCOL,C24,D24)</f>
        <v>Bijzondere waarde van authenticiteit, provenance en publieke betrouwbaarheid.</v>
      </c>
      <c r="I24" t="str">
        <f>CHOOSE(LANGCOL,E24,F24)</f>
        <v>Verbind techniek en normatieve kern: herleidbaarheid, brongebruik, data-integriteit en publieke uitleg.</v>
      </c>
    </row>
  </sheetData>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Normal="100" workbookViewId="0"/>
  </sheetViews>
  <sheetFormatPr baseColWidth="10" defaultColWidth="8.6640625" defaultRowHeight="15" x14ac:dyDescent="0.2"/>
  <sheetData>
    <row r="1" spans="1:8" ht="15" customHeight="1" x14ac:dyDescent="0.2">
      <c r="A1" t="s">
        <v>457</v>
      </c>
      <c r="B1" t="s">
        <v>458</v>
      </c>
      <c r="C1" t="s">
        <v>459</v>
      </c>
      <c r="D1" t="s">
        <v>460</v>
      </c>
      <c r="E1" t="s">
        <v>461</v>
      </c>
      <c r="F1" t="s">
        <v>462</v>
      </c>
      <c r="G1" t="s">
        <v>463</v>
      </c>
      <c r="H1" t="s">
        <v>464</v>
      </c>
    </row>
    <row r="2" spans="1:8" ht="15" customHeight="1" x14ac:dyDescent="0.2">
      <c r="A2" t="str">
        <f>_data!A2</f>
        <v>V1</v>
      </c>
      <c r="B2">
        <f>_data!B2</f>
        <v>1.5</v>
      </c>
      <c r="C2">
        <f>Zelftest!$G$19</f>
        <v>0</v>
      </c>
      <c r="D2">
        <f t="shared" ref="D2:D11" si="0">IFERROR(IF(C2="",0,CHOOSE(C2,0,3.333333,6.666667,10)),0)</f>
        <v>0</v>
      </c>
      <c r="E2">
        <f t="shared" ref="E2:E11" si="1">D2*B2</f>
        <v>0</v>
      </c>
      <c r="F2">
        <f t="shared" ref="F2:F11" si="2">IF(C2="",0,1)</f>
        <v>1</v>
      </c>
      <c r="G2">
        <f t="shared" ref="G2:G11" si="3">IF(OR(F2=0,D2&lt;5),1,0)</f>
        <v>1</v>
      </c>
      <c r="H2">
        <f>IF(G2=1,B2*1000-D2*10-2*0.01,-1)</f>
        <v>1499.98</v>
      </c>
    </row>
    <row r="3" spans="1:8" ht="15" customHeight="1" x14ac:dyDescent="0.2">
      <c r="A3" t="str">
        <f>_data!A3</f>
        <v>V2</v>
      </c>
      <c r="B3">
        <f>_data!B3</f>
        <v>1.5</v>
      </c>
      <c r="C3">
        <f>Zelftest!$G$28</f>
        <v>0</v>
      </c>
      <c r="D3">
        <f t="shared" si="0"/>
        <v>0</v>
      </c>
      <c r="E3">
        <f t="shared" si="1"/>
        <v>0</v>
      </c>
      <c r="F3">
        <f t="shared" si="2"/>
        <v>1</v>
      </c>
      <c r="G3">
        <f t="shared" si="3"/>
        <v>1</v>
      </c>
      <c r="H3">
        <f>IF(G3=1,B3*1000-D3*10-3*0.01,-1)</f>
        <v>1499.97</v>
      </c>
    </row>
    <row r="4" spans="1:8" ht="15" customHeight="1" x14ac:dyDescent="0.2">
      <c r="A4" t="str">
        <f>_data!A4</f>
        <v>V3</v>
      </c>
      <c r="B4">
        <f>_data!B4</f>
        <v>1</v>
      </c>
      <c r="C4">
        <f>Zelftest!$G$37</f>
        <v>0</v>
      </c>
      <c r="D4">
        <f t="shared" si="0"/>
        <v>0</v>
      </c>
      <c r="E4">
        <f t="shared" si="1"/>
        <v>0</v>
      </c>
      <c r="F4">
        <f t="shared" si="2"/>
        <v>1</v>
      </c>
      <c r="G4">
        <f t="shared" si="3"/>
        <v>1</v>
      </c>
      <c r="H4">
        <f>IF(G4=1,B4*1000-D4*10-4*0.01,-1)</f>
        <v>999.96</v>
      </c>
    </row>
    <row r="5" spans="1:8" ht="15" customHeight="1" x14ac:dyDescent="0.2">
      <c r="A5" t="str">
        <f>_data!A5</f>
        <v>V4</v>
      </c>
      <c r="B5">
        <f>_data!B5</f>
        <v>1</v>
      </c>
      <c r="C5">
        <f>Zelftest!$G$46</f>
        <v>0</v>
      </c>
      <c r="D5">
        <f t="shared" si="0"/>
        <v>0</v>
      </c>
      <c r="E5">
        <f t="shared" si="1"/>
        <v>0</v>
      </c>
      <c r="F5">
        <f t="shared" si="2"/>
        <v>1</v>
      </c>
      <c r="G5">
        <f t="shared" si="3"/>
        <v>1</v>
      </c>
      <c r="H5">
        <f>IF(G5=1,B5*1000-D5*10-5*0.01,-1)</f>
        <v>999.95</v>
      </c>
    </row>
    <row r="6" spans="1:8" ht="15" customHeight="1" x14ac:dyDescent="0.2">
      <c r="A6" t="str">
        <f>_data!A6</f>
        <v>V5</v>
      </c>
      <c r="B6">
        <f>_data!B6</f>
        <v>1.5</v>
      </c>
      <c r="C6">
        <f>Zelftest!$G$55</f>
        <v>0</v>
      </c>
      <c r="D6">
        <f t="shared" si="0"/>
        <v>0</v>
      </c>
      <c r="E6">
        <f t="shared" si="1"/>
        <v>0</v>
      </c>
      <c r="F6">
        <f t="shared" si="2"/>
        <v>1</v>
      </c>
      <c r="G6">
        <f t="shared" si="3"/>
        <v>1</v>
      </c>
      <c r="H6">
        <f>IF(G6=1,B6*1000-D6*10-6*0.01,-1)</f>
        <v>1499.94</v>
      </c>
    </row>
    <row r="7" spans="1:8" ht="15" customHeight="1" x14ac:dyDescent="0.2">
      <c r="A7" t="str">
        <f>_data!A7</f>
        <v>V6</v>
      </c>
      <c r="B7">
        <f>_data!B7</f>
        <v>1</v>
      </c>
      <c r="C7">
        <f>Zelftest!$G$64</f>
        <v>0</v>
      </c>
      <c r="D7">
        <f t="shared" si="0"/>
        <v>0</v>
      </c>
      <c r="E7">
        <f t="shared" si="1"/>
        <v>0</v>
      </c>
      <c r="F7">
        <f t="shared" si="2"/>
        <v>1</v>
      </c>
      <c r="G7">
        <f t="shared" si="3"/>
        <v>1</v>
      </c>
      <c r="H7">
        <f>IF(G7=1,B7*1000-D7*10-7*0.01,-1)</f>
        <v>999.93</v>
      </c>
    </row>
    <row r="8" spans="1:8" ht="15" customHeight="1" x14ac:dyDescent="0.2">
      <c r="A8" t="str">
        <f>_data!A8</f>
        <v>V7</v>
      </c>
      <c r="B8">
        <f>_data!B8</f>
        <v>1</v>
      </c>
      <c r="C8">
        <f>Zelftest!$G$73</f>
        <v>0</v>
      </c>
      <c r="D8">
        <f t="shared" si="0"/>
        <v>0</v>
      </c>
      <c r="E8">
        <f t="shared" si="1"/>
        <v>0</v>
      </c>
      <c r="F8">
        <f t="shared" si="2"/>
        <v>1</v>
      </c>
      <c r="G8">
        <f t="shared" si="3"/>
        <v>1</v>
      </c>
      <c r="H8">
        <f>IF(G8=1,B8*1000-D8*10-8*0.01,-1)</f>
        <v>999.92</v>
      </c>
    </row>
    <row r="9" spans="1:8" ht="15" customHeight="1" x14ac:dyDescent="0.2">
      <c r="A9" t="str">
        <f>_data!A9</f>
        <v>V8</v>
      </c>
      <c r="B9">
        <f>_data!B9</f>
        <v>1</v>
      </c>
      <c r="C9">
        <f>Zelftest!$G$82</f>
        <v>0</v>
      </c>
      <c r="D9">
        <f t="shared" si="0"/>
        <v>0</v>
      </c>
      <c r="E9">
        <f t="shared" si="1"/>
        <v>0</v>
      </c>
      <c r="F9">
        <f t="shared" si="2"/>
        <v>1</v>
      </c>
      <c r="G9">
        <f t="shared" si="3"/>
        <v>1</v>
      </c>
      <c r="H9">
        <f>IF(G9=1,B9*1000-D9*10-9*0.01,-1)</f>
        <v>999.91</v>
      </c>
    </row>
    <row r="10" spans="1:8" ht="15" customHeight="1" x14ac:dyDescent="0.2">
      <c r="A10" t="str">
        <f>_data!A10</f>
        <v>V9</v>
      </c>
      <c r="B10">
        <f>_data!B10</f>
        <v>1</v>
      </c>
      <c r="C10">
        <f>Zelftest!$G$91</f>
        <v>0</v>
      </c>
      <c r="D10">
        <f t="shared" si="0"/>
        <v>0</v>
      </c>
      <c r="E10">
        <f t="shared" si="1"/>
        <v>0</v>
      </c>
      <c r="F10">
        <f t="shared" si="2"/>
        <v>1</v>
      </c>
      <c r="G10">
        <f t="shared" si="3"/>
        <v>1</v>
      </c>
      <c r="H10">
        <f>IF(G10=1,B10*1000-D10*10-10*0.01,-1)</f>
        <v>999.9</v>
      </c>
    </row>
    <row r="11" spans="1:8" ht="15" customHeight="1" x14ac:dyDescent="0.2">
      <c r="A11" t="str">
        <f>_data!A11</f>
        <v>V10</v>
      </c>
      <c r="B11">
        <f>_data!B11</f>
        <v>1.5</v>
      </c>
      <c r="C11">
        <f>Zelftest!$G$100</f>
        <v>0</v>
      </c>
      <c r="D11">
        <f t="shared" si="0"/>
        <v>0</v>
      </c>
      <c r="E11">
        <f t="shared" si="1"/>
        <v>0</v>
      </c>
      <c r="F11">
        <f t="shared" si="2"/>
        <v>1</v>
      </c>
      <c r="G11">
        <f t="shared" si="3"/>
        <v>1</v>
      </c>
      <c r="H11">
        <f>IF(G11=1,B11*1000-D11*10-11*0.01,-1)</f>
        <v>1499.89</v>
      </c>
    </row>
    <row r="13" spans="1:8" ht="15" customHeight="1" x14ac:dyDescent="0.2">
      <c r="A13" t="s">
        <v>465</v>
      </c>
      <c r="B13">
        <f>SUM(E2:E11)</f>
        <v>0</v>
      </c>
    </row>
    <row r="14" spans="1:8" ht="15" customHeight="1" x14ac:dyDescent="0.2">
      <c r="A14" t="s">
        <v>462</v>
      </c>
      <c r="B14">
        <f>SUM(F2:F11)</f>
        <v>10</v>
      </c>
    </row>
    <row r="15" spans="1:8" ht="15" customHeight="1" x14ac:dyDescent="0.2">
      <c r="A15" t="s">
        <v>466</v>
      </c>
      <c r="B15">
        <f>ROUND(B13/120*10,1)</f>
        <v>0</v>
      </c>
    </row>
    <row r="16" spans="1:8" ht="15" customHeight="1" x14ac:dyDescent="0.2">
      <c r="A16" t="s">
        <v>467</v>
      </c>
      <c r="B16">
        <f>IF(B15&gt;=8.6,5,IF(B15&gt;=7.1,4,IF(B15&gt;=5.1,3,IF(B15&gt;=3.1,2,1))))</f>
        <v>1</v>
      </c>
    </row>
    <row r="17" spans="1:5" ht="15" customHeight="1" x14ac:dyDescent="0.2">
      <c r="A17" t="s">
        <v>468</v>
      </c>
      <c r="B17">
        <f>SUM(G2:G11)</f>
        <v>10</v>
      </c>
    </row>
    <row r="18" spans="1:5" ht="15" customHeight="1" x14ac:dyDescent="0.2">
      <c r="A18" t="s">
        <v>469</v>
      </c>
      <c r="B18" t="str">
        <f>IF(LANG="nl",SUBSTITUTE(TEXT(B15,"0.0"),".",","),TEXT(B15,"0.0"))</f>
        <v>00</v>
      </c>
    </row>
    <row r="19" spans="1:5" ht="15" customHeight="1" x14ac:dyDescent="0.2">
      <c r="A19" t="s">
        <v>470</v>
      </c>
      <c r="B19" t="str">
        <f>IF(B14=10,"",SUBSTITUTE(_i18n!$D$44,"{n}",B14))</f>
        <v/>
      </c>
    </row>
    <row r="20" spans="1:5" ht="15" customHeight="1" x14ac:dyDescent="0.2">
      <c r="A20" t="s">
        <v>471</v>
      </c>
      <c r="B20" t="str">
        <f>INDEX(_data!$L$14:$L$18,B16)</f>
        <v>Onbesproken terrein</v>
      </c>
    </row>
    <row r="21" spans="1:5" ht="15" customHeight="1" x14ac:dyDescent="0.2">
      <c r="A21" t="s">
        <v>472</v>
      </c>
      <c r="B21" t="str">
        <f>INDEX(_data!$M$14:$M$18,B16)</f>
        <v>0 – 3,0</v>
      </c>
    </row>
    <row r="22" spans="1:5" ht="15" customHeight="1" x14ac:dyDescent="0.2">
      <c r="A22" t="s">
        <v>473</v>
      </c>
      <c r="B22" t="str">
        <f>INDEX(_data!$N$14:$N$18,B16)</f>
        <v>De onderwerpen zijn bestuurlijk vrijwel onbesproken. AI, cyberrisico en leveranciersafhankelijkheid liggen verspreid over dossiers die elk afzonderlijk hanteerbaar lijken, terwijl niemand het geheel ziet. Dit is het moment om het gesprek voor het eerst te voeren.</v>
      </c>
    </row>
    <row r="23" spans="1:5" ht="15" customHeight="1" x14ac:dyDescent="0.2">
      <c r="A23" t="s">
        <v>474</v>
      </c>
      <c r="B23" t="str">
        <f>INDEX(_data!$O$14:$O$18,B16)</f>
        <v>De eerste stap is het gesprek zelf. Breng AI, cyber en leveranciersafhankelijkheid voor het eerst samen op de bestuurstafel, benoem wat kritiek is en wie eigenaar is, en maak zichtbaar wat nog onbekend is. Onzekerheid is bestuurbaar zodra zij expliciet wordt.</v>
      </c>
    </row>
    <row r="24" spans="1:5" ht="15" customHeight="1" x14ac:dyDescent="0.2">
      <c r="A24" t="s">
        <v>475</v>
      </c>
      <c r="B24" t="str">
        <f>INDEX(_data!$P$14:$P$18,B16)</f>
        <v>Agendeer dit als zelfstandig bestuursdossier; de tien vragen vormen de structuur voor het eerste gesprek.</v>
      </c>
    </row>
    <row r="25" spans="1:5" ht="15" customHeight="1" x14ac:dyDescent="0.2">
      <c r="A25" t="s">
        <v>476</v>
      </c>
      <c r="B25" t="str">
        <f>IF(B14=0,_i18n!$D$41,B19&amp;B22)</f>
        <v>De onderwerpen zijn bestuurlijk vrijwel onbesproken. AI, cyberrisico en leveranciersafhankelijkheid liggen verspreid over dossiers die elk afzonderlijk hanteerbaar lijken, terwijl niemand het geheel ziet. Dit is het moment om het gesprek voor het eerst te voeren.</v>
      </c>
    </row>
    <row r="26" spans="1:5" ht="15" customHeight="1" x14ac:dyDescent="0.2">
      <c r="A26" t="s">
        <v>477</v>
      </c>
      <c r="B26" t="str">
        <f>IF(B14=0,"",B23)</f>
        <v>De eerste stap is het gesprek zelf. Breng AI, cyber en leveranciersafhankelijkheid voor het eerst samen op de bestuurstafel, benoem wat kritiek is en wie eigenaar is, en maak zichtbaar wat nog onbekend is. Onzekerheid is bestuurbaar zodra zij expliciet wordt.</v>
      </c>
    </row>
    <row r="27" spans="1:5" ht="15" customHeight="1" x14ac:dyDescent="0.2">
      <c r="A27" t="s">
        <v>478</v>
      </c>
      <c r="B27" t="str">
        <f>IF(B14=0,_i18n!$D$39,B20)</f>
        <v>Onbesproken terrein</v>
      </c>
    </row>
    <row r="28" spans="1:5" ht="15" customHeight="1" x14ac:dyDescent="0.2">
      <c r="A28" t="s">
        <v>479</v>
      </c>
      <c r="B28" t="str">
        <f>IF(B14=0,"—",B18)</f>
        <v>00</v>
      </c>
    </row>
    <row r="30" spans="1:5" ht="15" customHeight="1" x14ac:dyDescent="0.2">
      <c r="A30" t="s">
        <v>480</v>
      </c>
      <c r="B30" t="s">
        <v>481</v>
      </c>
      <c r="C30" t="s">
        <v>482</v>
      </c>
      <c r="D30" t="s">
        <v>483</v>
      </c>
      <c r="E30" t="s">
        <v>484</v>
      </c>
    </row>
    <row r="31" spans="1:5" ht="15" customHeight="1" x14ac:dyDescent="0.2">
      <c r="A31">
        <v>1</v>
      </c>
      <c r="B31">
        <f>LARGE($H$2:$H$11,1)</f>
        <v>1499.98</v>
      </c>
      <c r="C31">
        <f t="shared" ref="C31:C36" si="4">IF(B31&gt;0,MATCH(B31,$H$2:$H$11,0),0)</f>
        <v>1</v>
      </c>
      <c r="D31" t="str">
        <f>IF(C31=0,"",INDEX(_data!$AA$2:$AA$11,C31))</f>
        <v>Samenhang</v>
      </c>
      <c r="E31" t="str">
        <f>IF(C31=0,"",INDEX(_data!$AB$2:$AB$11,C31))</f>
        <v>Zolang AI bij innovatie ligt, cyber bij IT en software bij inkoop, ziet niemand het geheel. Breng de drie als één bestuurlijke opgave op tafel en benoem waar ze elkaar raken.</v>
      </c>
    </row>
    <row r="32" spans="1:5" ht="15" customHeight="1" x14ac:dyDescent="0.2">
      <c r="A32">
        <v>2</v>
      </c>
      <c r="B32">
        <f>LARGE($H$2:$H$11,2)</f>
        <v>1499.97</v>
      </c>
      <c r="C32">
        <f t="shared" si="4"/>
        <v>2</v>
      </c>
      <c r="D32" t="str">
        <f>IF(C32=0,"",INDEX(_data!$AA$2:$AA$11,C32))</f>
        <v>Missiekritische afhankelijkheden</v>
      </c>
      <c r="E32" t="str">
        <f>IF(C32=0,"",INDEX(_data!$AB$2:$AB$11,C32))</f>
        <v>Algemene digitale volwassenheid zegt weinig. Benoem welke afhankelijkheden de missie rechtstreeks raken en koppel daar eigenaarschap en een herstelpad aan.</v>
      </c>
    </row>
    <row r="33" spans="1:5" ht="15" customHeight="1" x14ac:dyDescent="0.2">
      <c r="A33">
        <v>3</v>
      </c>
      <c r="B33">
        <f>LARGE($H$2:$H$11,3)</f>
        <v>1499.94</v>
      </c>
      <c r="C33">
        <f t="shared" si="4"/>
        <v>5</v>
      </c>
      <c r="D33" t="str">
        <f>IF(C33=0,"",INDEX(_data!$AA$2:$AA$11,C33))</f>
        <v>Bewust geaccepteerd restrisico</v>
      </c>
      <c r="E33" t="str">
        <f>IF(C33=0,"",INDEX(_data!$AB$2:$AB$11,C33))</f>
        <v>Een risico dat niet bekend is, is geen geaccepteerd risico maar een blinde vlek. Maak per kritiek terrein zichtbaar welk restrisico blijft en waarom dat aanvaardbaar is.</v>
      </c>
    </row>
    <row r="34" spans="1:5" ht="15" customHeight="1" x14ac:dyDescent="0.2">
      <c r="A34">
        <v>4</v>
      </c>
      <c r="B34">
        <f>LARGE($H$2:$H$11,4)</f>
        <v>1499.89</v>
      </c>
      <c r="C34">
        <f t="shared" si="4"/>
        <v>10</v>
      </c>
      <c r="D34" t="str">
        <f>IF(C34=0,"",INDEX(_data!$AA$2:$AA$11,C34))</f>
        <v>Publieke uitlegbaarheid</v>
      </c>
      <c r="E34" t="str">
        <f>IF(C34=0,"",INDEX(_data!$AB$2:$AB$11,C34))</f>
        <v>Uitlegbaarheid vooraf is bijna altijd beter dan verdediging achteraf. Maak publieke uitlegbaarheid onderdeel van elke wezenlijke digitale keuze.</v>
      </c>
    </row>
    <row r="35" spans="1:5" ht="15" customHeight="1" x14ac:dyDescent="0.2">
      <c r="A35">
        <v>5</v>
      </c>
      <c r="B35">
        <f>LARGE($H$2:$H$11,5)</f>
        <v>999.96</v>
      </c>
      <c r="C35">
        <f t="shared" si="4"/>
        <v>3</v>
      </c>
      <c r="D35" t="str">
        <f>IF(C35=0,"",INDEX(_data!$AA$2:$AA$11,C35))</f>
        <v>Informatiepositie van de raad</v>
      </c>
      <c r="E35" t="str">
        <f>IF(C35=0,"",INDEX(_data!$AB$2:$AB$11,C35))</f>
        <v>Een raad die wacht tot de directie agendeert, mist precies de informatie die hij nodig heeft. Stel de informatiebehoefte zelf op — onzekerheid is bestuurbaar zodra zij expliciet is.</v>
      </c>
    </row>
    <row r="36" spans="1:5" ht="15" customHeight="1" x14ac:dyDescent="0.2">
      <c r="A36">
        <v>6</v>
      </c>
      <c r="B36">
        <f>LARGE($H$2:$H$11,6)</f>
        <v>999.95</v>
      </c>
      <c r="C36">
        <f t="shared" si="4"/>
        <v>4</v>
      </c>
      <c r="D36" t="str">
        <f>IF(C36=0,"",INDEX(_data!$AA$2:$AA$11,C36))</f>
        <v>Menselijke controle</v>
      </c>
      <c r="E36" t="str">
        <f>IF(C36=0,"",INDEX(_data!$AB$2:$AB$11,C36))</f>
        <v>Menselijke controle is geen formaliteit maar de plek waar verantwoordelijkheid landt. Wijs expliciet aan waar bij AI, cyber en contractkeuzes een mens het laatste woord houdt.</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Zelftest</vt:lpstr>
      <vt:lpstr>Rapport</vt:lpstr>
      <vt:lpstr>Vergelijking</vt:lpstr>
      <vt:lpstr>_i18n</vt:lpstr>
      <vt:lpstr>_data</vt:lpstr>
      <vt:lpstr>_calc</vt:lpstr>
      <vt:lpstr>LANG</vt:lpstr>
      <vt:lpstr>LANGCOL</vt:lpstr>
      <vt:lpstr>Cover!Print_Area</vt:lpstr>
      <vt:lpstr>Rapport!Print_Area</vt:lpstr>
      <vt:lpstr>Vergelijking!Print_Area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van Nispen</dc:creator>
  <cp:keywords/>
  <dc:description/>
  <cp:lastModifiedBy>Guido Nispen</cp:lastModifiedBy>
  <cp:revision>0</cp:revision>
  <dcterms:created xsi:type="dcterms:W3CDTF">2026-06-26T12:56:50Z</dcterms:created>
  <dcterms:modified xsi:type="dcterms:W3CDTF">2026-06-26T13:05:37Z</dcterms:modified>
  <cp:category/>
  <dc:language>en-US</dc:language>
</cp:coreProperties>
</file>